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IES\Desktop\Ficheiros exel\Fact Sheets\"/>
    </mc:Choice>
  </mc:AlternateContent>
  <bookViews>
    <workbookView xWindow="0" yWindow="0" windowWidth="19200" windowHeight="10890" tabRatio="921"/>
  </bookViews>
  <sheets>
    <sheet name="Índice" sheetId="36" r:id="rId1"/>
    <sheet name="Quadro 1" sheetId="1" r:id="rId2"/>
    <sheet name="Quadro 2" sheetId="5" r:id="rId3"/>
    <sheet name="Quadro 3" sheetId="6" r:id="rId4"/>
    <sheet name="Quadro 4" sheetId="7" r:id="rId5"/>
    <sheet name="Quadro 5" sheetId="18" r:id="rId6"/>
    <sheet name="Quadro 6" sheetId="16" r:id="rId7"/>
    <sheet name="Quadro 7" sheetId="19" r:id="rId8"/>
    <sheet name="Quadro 8" sheetId="17" r:id="rId9"/>
    <sheet name="Quadro 9" sheetId="21" r:id="rId10"/>
    <sheet name="Gráfico 1" sheetId="2" r:id="rId11"/>
    <sheet name="Gráfico 2" sheetId="8" r:id="rId12"/>
    <sheet name="Gráfico 3" sheetId="9" r:id="rId13"/>
    <sheet name="Gráfico 4" sheetId="37" r:id="rId14"/>
    <sheet name="Gráfico 5" sheetId="20" r:id="rId15"/>
    <sheet name="Gráfico 6" sheetId="23" r:id="rId16"/>
    <sheet name="Gráfico 7" sheetId="26" r:id="rId17"/>
    <sheet name="Gráfico 8" sheetId="29" r:id="rId18"/>
    <sheet name="Gráfico 9" sheetId="34" r:id="rId19"/>
    <sheet name="Metainformação" sheetId="3" r:id="rId20"/>
  </sheets>
  <definedNames>
    <definedName name="_xlnm.Print_Titles" localSheetId="0">Índice!$1:$2</definedName>
    <definedName name="_xlnm.Print_Titles" localSheetId="19">Metainformação!$1:$2</definedName>
    <definedName name="_xlnm.Print_Titles" localSheetId="1">'Quadro 1'!$1:$4</definedName>
    <definedName name="_xlnm.Print_Titles" localSheetId="2">'Quadro 2'!$1:$4</definedName>
    <definedName name="_xlnm.Print_Titles" localSheetId="3">'Quadro 3'!$1:$4</definedName>
    <definedName name="_xlnm.Print_Titles" localSheetId="4">'Quadro 4'!$1:$4</definedName>
  </definedNames>
  <calcPr calcId="162913"/>
</workbook>
</file>

<file path=xl/calcChain.xml><?xml version="1.0" encoding="utf-8"?>
<calcChain xmlns="http://schemas.openxmlformats.org/spreadsheetml/2006/main">
  <c r="B4" i="36" l="1"/>
  <c r="E7" i="36" l="1"/>
  <c r="E8" i="36"/>
  <c r="E9" i="36"/>
  <c r="E10" i="36"/>
  <c r="E11" i="36"/>
  <c r="F29" i="7" l="1"/>
  <c r="F28" i="7"/>
  <c r="F27" i="7"/>
  <c r="F26" i="7"/>
  <c r="F25" i="7"/>
  <c r="F23" i="7"/>
  <c r="F22" i="7"/>
  <c r="F21" i="7"/>
  <c r="F20" i="7"/>
  <c r="F19" i="7"/>
  <c r="F18" i="7"/>
  <c r="F16" i="7"/>
  <c r="F15" i="7"/>
  <c r="F14" i="7"/>
  <c r="F13" i="7"/>
  <c r="F12" i="7"/>
  <c r="F11" i="7"/>
  <c r="F10" i="7"/>
  <c r="F9" i="7"/>
  <c r="F8" i="7"/>
  <c r="F7" i="7"/>
  <c r="D29" i="7"/>
  <c r="D28" i="7"/>
  <c r="D27" i="7"/>
  <c r="D26" i="7"/>
  <c r="D25" i="7"/>
  <c r="D23" i="7"/>
  <c r="D22" i="7"/>
  <c r="D21" i="7"/>
  <c r="D20" i="7"/>
  <c r="D19" i="7"/>
  <c r="D18" i="7"/>
  <c r="D16" i="7"/>
  <c r="D15" i="7"/>
  <c r="D14" i="7"/>
  <c r="D13" i="7"/>
  <c r="D12" i="7"/>
  <c r="D11" i="7"/>
  <c r="D10" i="7"/>
  <c r="D9" i="7"/>
  <c r="D8" i="7"/>
  <c r="D7" i="7"/>
  <c r="E23" i="18"/>
  <c r="L23" i="18"/>
  <c r="E22" i="18"/>
  <c r="E21" i="18"/>
  <c r="L21" i="18"/>
  <c r="E20" i="18"/>
  <c r="E19" i="18"/>
  <c r="L19" i="18"/>
  <c r="E18" i="18"/>
  <c r="E17" i="18"/>
  <c r="L17" i="18" s="1"/>
  <c r="E16" i="18"/>
  <c r="L16" i="18" s="1"/>
  <c r="E15" i="18"/>
  <c r="L15" i="18"/>
  <c r="E14" i="18"/>
  <c r="L14" i="18" s="1"/>
  <c r="E13" i="18"/>
  <c r="L13" i="18" s="1"/>
  <c r="E12" i="18"/>
  <c r="E11" i="18"/>
  <c r="L11" i="18"/>
  <c r="E10" i="18"/>
  <c r="E9" i="18"/>
  <c r="L9" i="18" s="1"/>
  <c r="E8" i="18"/>
  <c r="L8" i="18"/>
  <c r="E7" i="18"/>
  <c r="L7" i="18" s="1"/>
  <c r="E6" i="18"/>
  <c r="I11" i="18" s="1"/>
  <c r="L10" i="18"/>
  <c r="I17" i="18"/>
  <c r="F218" i="17"/>
  <c r="F217" i="17"/>
  <c r="F215" i="17"/>
  <c r="F214" i="17"/>
  <c r="F213" i="17"/>
  <c r="F212" i="17"/>
  <c r="F211" i="17"/>
  <c r="F210" i="17"/>
  <c r="F209" i="17"/>
  <c r="F207" i="17"/>
  <c r="F206" i="17"/>
  <c r="F205" i="17"/>
  <c r="F204" i="17"/>
  <c r="F203" i="17"/>
  <c r="F202" i="17"/>
  <c r="F201" i="17"/>
  <c r="F200" i="17"/>
  <c r="F199" i="17"/>
  <c r="F198" i="17"/>
  <c r="F197" i="17"/>
  <c r="F196" i="17"/>
  <c r="F195" i="17"/>
  <c r="F193" i="17"/>
  <c r="F192" i="17"/>
  <c r="F191" i="17"/>
  <c r="F190" i="17"/>
  <c r="F188" i="17"/>
  <c r="F187" i="17"/>
  <c r="F186" i="17"/>
  <c r="F185" i="17"/>
  <c r="F184" i="17"/>
  <c r="F183" i="17"/>
  <c r="F182" i="17"/>
  <c r="F181" i="17"/>
  <c r="F178" i="17"/>
  <c r="F177" i="17"/>
  <c r="F176" i="17"/>
  <c r="F175" i="17"/>
  <c r="F174" i="17"/>
  <c r="F173" i="17"/>
  <c r="F172" i="17"/>
  <c r="F171" i="17"/>
  <c r="F170" i="17"/>
  <c r="F169" i="17"/>
  <c r="F168" i="17"/>
  <c r="F167" i="17"/>
  <c r="F166" i="17"/>
  <c r="F165" i="17"/>
  <c r="F163" i="17"/>
  <c r="F162" i="17"/>
  <c r="F161" i="17"/>
  <c r="F160" i="17"/>
  <c r="F159" i="17"/>
  <c r="F158" i="17"/>
  <c r="F157" i="17"/>
  <c r="F156" i="17"/>
  <c r="F155" i="17"/>
  <c r="F154" i="17"/>
  <c r="F153" i="17"/>
  <c r="F152" i="17"/>
  <c r="F151" i="17"/>
  <c r="F150" i="17"/>
  <c r="F149" i="17"/>
  <c r="F148" i="17"/>
  <c r="F147" i="17"/>
  <c r="F146" i="17"/>
  <c r="F145" i="17"/>
  <c r="F144" i="17"/>
  <c r="F142" i="17"/>
  <c r="F141" i="17"/>
  <c r="F140" i="17"/>
  <c r="F139" i="17"/>
  <c r="F138" i="17"/>
  <c r="F137" i="17"/>
  <c r="F136" i="17"/>
  <c r="F135" i="17"/>
  <c r="F134" i="17"/>
  <c r="F133" i="17"/>
  <c r="F132" i="17"/>
  <c r="F131" i="17"/>
  <c r="F130" i="17"/>
  <c r="F129" i="17"/>
  <c r="F128" i="17"/>
  <c r="F127" i="17"/>
  <c r="F126" i="17"/>
  <c r="F123" i="17"/>
  <c r="F122" i="17"/>
  <c r="F121" i="17"/>
  <c r="F120" i="17"/>
  <c r="F119" i="17"/>
  <c r="F118" i="17"/>
  <c r="F117" i="17"/>
  <c r="F116" i="17"/>
  <c r="F115" i="17"/>
  <c r="F114" i="17"/>
  <c r="F113" i="17"/>
  <c r="F112" i="17"/>
  <c r="F111" i="17"/>
  <c r="F110" i="17"/>
  <c r="F109" i="17"/>
  <c r="F108" i="17"/>
  <c r="F107" i="17"/>
  <c r="F106" i="17"/>
  <c r="F105" i="17"/>
  <c r="F102" i="17"/>
  <c r="F101" i="17"/>
  <c r="F100" i="17"/>
  <c r="F97" i="17"/>
  <c r="F95" i="17"/>
  <c r="F94" i="17"/>
  <c r="F93" i="17"/>
  <c r="F92" i="17"/>
  <c r="F91" i="17"/>
  <c r="F90" i="17"/>
  <c r="F89" i="17"/>
  <c r="F88" i="17"/>
  <c r="F87" i="17"/>
  <c r="F86" i="17"/>
  <c r="F85"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8" i="17"/>
  <c r="F7" i="17"/>
  <c r="F6" i="17"/>
  <c r="F5" i="17"/>
  <c r="E108" i="17"/>
  <c r="D108" i="17"/>
  <c r="G108" i="17" s="1"/>
  <c r="C108" i="17"/>
  <c r="H108" i="17" s="1"/>
  <c r="M7" i="18"/>
  <c r="M8" i="18"/>
  <c r="M9" i="18"/>
  <c r="M10" i="18"/>
  <c r="M11" i="18"/>
  <c r="M12" i="18"/>
  <c r="M13" i="18"/>
  <c r="M14" i="18"/>
  <c r="M15" i="18"/>
  <c r="M16" i="18"/>
  <c r="M17" i="18"/>
  <c r="M18" i="18"/>
  <c r="M19" i="18"/>
  <c r="M20" i="18"/>
  <c r="M21" i="18"/>
  <c r="M22" i="18"/>
  <c r="M23" i="18"/>
  <c r="M6" i="18"/>
  <c r="J13" i="18"/>
  <c r="J14" i="18"/>
  <c r="J15" i="18"/>
  <c r="J16" i="18"/>
  <c r="J17" i="18"/>
  <c r="J18" i="18"/>
  <c r="J19" i="18"/>
  <c r="J20" i="18"/>
  <c r="J21" i="18"/>
  <c r="J22" i="18"/>
  <c r="J23" i="18"/>
  <c r="J12" i="18"/>
  <c r="J10" i="18"/>
  <c r="J11" i="18"/>
  <c r="J7" i="18"/>
  <c r="J8" i="18"/>
  <c r="J9" i="18"/>
  <c r="J6" i="18"/>
  <c r="B14" i="36"/>
  <c r="E12" i="36"/>
  <c r="B12" i="36"/>
  <c r="B11" i="36"/>
  <c r="B10" i="36"/>
  <c r="B9" i="36"/>
  <c r="B8" i="36"/>
  <c r="E6" i="36"/>
  <c r="B7" i="36"/>
  <c r="B6" i="36"/>
  <c r="B5" i="36"/>
  <c r="E5" i="36"/>
  <c r="E4" i="36"/>
  <c r="K23" i="18"/>
  <c r="K22" i="18"/>
  <c r="K21" i="18"/>
  <c r="K20" i="18"/>
  <c r="K19" i="18"/>
  <c r="K18" i="18"/>
  <c r="K17" i="18"/>
  <c r="K16" i="18"/>
  <c r="K15" i="18"/>
  <c r="K14" i="18"/>
  <c r="K13" i="18"/>
  <c r="K12" i="18"/>
  <c r="K11" i="18"/>
  <c r="K10" i="18"/>
  <c r="K9" i="18"/>
  <c r="K8" i="18"/>
  <c r="K7" i="18"/>
  <c r="K6" i="18"/>
  <c r="E6" i="17"/>
  <c r="E8" i="17"/>
  <c r="E13" i="17"/>
  <c r="E5" i="17"/>
  <c r="E7" i="17"/>
  <c r="E11" i="17"/>
  <c r="E12" i="17"/>
  <c r="E14" i="17"/>
  <c r="E15" i="17"/>
  <c r="E16" i="17"/>
  <c r="E18" i="17"/>
  <c r="E19" i="17"/>
  <c r="E20" i="17"/>
  <c r="E21" i="17"/>
  <c r="E22" i="17"/>
  <c r="E23" i="17"/>
  <c r="E25" i="17"/>
  <c r="E24" i="17"/>
  <c r="E29" i="17"/>
  <c r="E30" i="17"/>
  <c r="E31" i="17"/>
  <c r="E32" i="17"/>
  <c r="E33" i="17"/>
  <c r="E34" i="17"/>
  <c r="E35" i="17"/>
  <c r="E36" i="17"/>
  <c r="E37" i="17"/>
  <c r="E39" i="17"/>
  <c r="E40" i="17"/>
  <c r="E42" i="17"/>
  <c r="E43" i="17"/>
  <c r="E44" i="17"/>
  <c r="E45" i="17"/>
  <c r="E46" i="17"/>
  <c r="E48" i="17"/>
  <c r="E51" i="17"/>
  <c r="E52" i="17"/>
  <c r="E55" i="17"/>
  <c r="E56" i="17"/>
  <c r="E59" i="17"/>
  <c r="E61" i="17"/>
  <c r="E62" i="17"/>
  <c r="E63" i="17"/>
  <c r="E64" i="17"/>
  <c r="E65" i="17"/>
  <c r="E69" i="17"/>
  <c r="E70" i="17"/>
  <c r="E71" i="17"/>
  <c r="E72" i="17"/>
  <c r="E73" i="17"/>
  <c r="E74" i="17"/>
  <c r="E75" i="17"/>
  <c r="E76" i="17"/>
  <c r="E77" i="17"/>
  <c r="E78" i="17"/>
  <c r="E79" i="17"/>
  <c r="E80" i="17"/>
  <c r="E81" i="17"/>
  <c r="E82" i="17"/>
  <c r="E85" i="17"/>
  <c r="E87" i="17"/>
  <c r="E88" i="17"/>
  <c r="E89" i="17"/>
  <c r="E90" i="17"/>
  <c r="E91" i="17"/>
  <c r="E92" i="17"/>
  <c r="E93" i="17"/>
  <c r="E102" i="17"/>
  <c r="E105" i="17"/>
  <c r="E106" i="17"/>
  <c r="E109" i="17"/>
  <c r="E110" i="17"/>
  <c r="E112" i="17"/>
  <c r="E111" i="17"/>
  <c r="E113" i="17"/>
  <c r="E114" i="17"/>
  <c r="E115" i="17"/>
  <c r="E116" i="17"/>
  <c r="E117" i="17"/>
  <c r="E118" i="17"/>
  <c r="E119" i="17"/>
  <c r="E120" i="17"/>
  <c r="E122" i="17"/>
  <c r="E127" i="17"/>
  <c r="E128" i="17"/>
  <c r="E129" i="17"/>
  <c r="E131" i="17"/>
  <c r="E133" i="17"/>
  <c r="E134" i="17"/>
  <c r="E136" i="17"/>
  <c r="E137" i="17"/>
  <c r="E138" i="17"/>
  <c r="E139" i="17"/>
  <c r="E141" i="17"/>
  <c r="E142" i="17"/>
  <c r="E144" i="17"/>
  <c r="E145" i="17"/>
  <c r="E147" i="17"/>
  <c r="E148" i="17"/>
  <c r="E149" i="17"/>
  <c r="E151" i="17"/>
  <c r="E150" i="17"/>
  <c r="E152" i="17"/>
  <c r="E154" i="17"/>
  <c r="E156" i="17"/>
  <c r="E157" i="17"/>
  <c r="E159" i="17"/>
  <c r="E160" i="17"/>
  <c r="E161" i="17"/>
  <c r="E163" i="17"/>
  <c r="E165" i="17"/>
  <c r="E166" i="17"/>
  <c r="E167" i="17"/>
  <c r="E168" i="17"/>
  <c r="E169" i="17"/>
  <c r="E170" i="17"/>
  <c r="E171" i="17"/>
  <c r="E172" i="17"/>
  <c r="E173" i="17"/>
  <c r="E174" i="17"/>
  <c r="E175" i="17"/>
  <c r="E176" i="17"/>
  <c r="E177" i="17"/>
  <c r="E178" i="17"/>
  <c r="E182" i="17"/>
  <c r="E184" i="17"/>
  <c r="E188" i="17"/>
  <c r="E191" i="17"/>
  <c r="E193" i="17"/>
  <c r="E194" i="17"/>
  <c r="E195" i="17"/>
  <c r="E196" i="17"/>
  <c r="E198" i="17"/>
  <c r="E199" i="17"/>
  <c r="E200" i="17"/>
  <c r="E203" i="17"/>
  <c r="E205" i="17"/>
  <c r="E206" i="17"/>
  <c r="E207" i="17"/>
  <c r="E209" i="17"/>
  <c r="E210" i="17"/>
  <c r="E211" i="17"/>
  <c r="E212" i="17"/>
  <c r="E213" i="17"/>
  <c r="E214" i="17"/>
  <c r="E215" i="17"/>
  <c r="E217" i="17"/>
  <c r="E218" i="17"/>
  <c r="D5" i="17"/>
  <c r="D7" i="17"/>
  <c r="D8" i="17"/>
  <c r="D11" i="17"/>
  <c r="D12" i="17"/>
  <c r="D13" i="17"/>
  <c r="D6" i="17"/>
  <c r="D14" i="17"/>
  <c r="D15" i="17"/>
  <c r="D16" i="17"/>
  <c r="D18" i="17"/>
  <c r="D19" i="17"/>
  <c r="D20" i="17"/>
  <c r="D21" i="17"/>
  <c r="D22" i="17"/>
  <c r="D23" i="17"/>
  <c r="D24" i="17"/>
  <c r="D25"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5" i="17"/>
  <c r="D54" i="17"/>
  <c r="D56" i="17"/>
  <c r="D59" i="17"/>
  <c r="D61" i="17"/>
  <c r="D62" i="17"/>
  <c r="D63" i="17"/>
  <c r="D64" i="17"/>
  <c r="D65" i="17"/>
  <c r="D66" i="17"/>
  <c r="D68" i="17"/>
  <c r="D67" i="17"/>
  <c r="D69" i="17"/>
  <c r="D70" i="17"/>
  <c r="D71" i="17"/>
  <c r="D72" i="17"/>
  <c r="D73" i="17"/>
  <c r="D74" i="17"/>
  <c r="D75" i="17"/>
  <c r="D76" i="17"/>
  <c r="D77" i="17"/>
  <c r="D78" i="17"/>
  <c r="D79" i="17"/>
  <c r="D80" i="17"/>
  <c r="D81" i="17"/>
  <c r="D82" i="17"/>
  <c r="D85" i="17"/>
  <c r="D88" i="17"/>
  <c r="D86" i="17"/>
  <c r="D87" i="17"/>
  <c r="D89" i="17"/>
  <c r="D90" i="17"/>
  <c r="D91" i="17"/>
  <c r="D92" i="17"/>
  <c r="D93" i="17"/>
  <c r="D94" i="17"/>
  <c r="D95" i="17"/>
  <c r="D101" i="17"/>
  <c r="D102" i="17"/>
  <c r="D105" i="17"/>
  <c r="D106" i="17"/>
  <c r="D107" i="17"/>
  <c r="D109" i="17"/>
  <c r="D110" i="17"/>
  <c r="D111" i="17"/>
  <c r="D112" i="17"/>
  <c r="D113" i="17"/>
  <c r="D114" i="17"/>
  <c r="D115" i="17"/>
  <c r="D116" i="17"/>
  <c r="D117" i="17"/>
  <c r="D118" i="17"/>
  <c r="D119" i="17"/>
  <c r="D120" i="17"/>
  <c r="D121" i="17"/>
  <c r="D122" i="17"/>
  <c r="D123" i="17"/>
  <c r="D126" i="17"/>
  <c r="D127" i="17"/>
  <c r="D128" i="17"/>
  <c r="D129" i="17"/>
  <c r="D130" i="17"/>
  <c r="D131" i="17"/>
  <c r="D132" i="17"/>
  <c r="D133" i="17"/>
  <c r="D134" i="17"/>
  <c r="D135" i="17"/>
  <c r="D136" i="17"/>
  <c r="D137" i="17"/>
  <c r="D138" i="17"/>
  <c r="D139" i="17"/>
  <c r="D140" i="17"/>
  <c r="D141" i="17"/>
  <c r="D142" i="17"/>
  <c r="D144" i="17"/>
  <c r="D145" i="17"/>
  <c r="D147" i="17"/>
  <c r="D148" i="17"/>
  <c r="D149" i="17"/>
  <c r="D150" i="17"/>
  <c r="D151" i="17"/>
  <c r="D152" i="17"/>
  <c r="D154" i="17"/>
  <c r="D155" i="17"/>
  <c r="D156" i="17"/>
  <c r="D157" i="17"/>
  <c r="D158" i="17"/>
  <c r="D159" i="17"/>
  <c r="D160" i="17"/>
  <c r="D161" i="17"/>
  <c r="D163" i="17"/>
  <c r="D164" i="17"/>
  <c r="D165" i="17"/>
  <c r="D166" i="17"/>
  <c r="D167" i="17"/>
  <c r="D168" i="17"/>
  <c r="D169" i="17"/>
  <c r="D170" i="17"/>
  <c r="D171" i="17"/>
  <c r="D172" i="17"/>
  <c r="D173" i="17"/>
  <c r="D174" i="17"/>
  <c r="D175" i="17"/>
  <c r="D176" i="17"/>
  <c r="D177" i="17"/>
  <c r="D178" i="17"/>
  <c r="D182" i="17"/>
  <c r="D183" i="17"/>
  <c r="D184" i="17"/>
  <c r="D185" i="17"/>
  <c r="D186" i="17"/>
  <c r="D187" i="17"/>
  <c r="D188" i="17"/>
  <c r="D191" i="17"/>
  <c r="D192" i="17"/>
  <c r="D193" i="17"/>
  <c r="D194" i="17"/>
  <c r="D195" i="17"/>
  <c r="D196" i="17"/>
  <c r="D197" i="17"/>
  <c r="D198" i="17"/>
  <c r="D199" i="17"/>
  <c r="D200" i="17"/>
  <c r="D201" i="17"/>
  <c r="D202" i="17"/>
  <c r="D203" i="17"/>
  <c r="D204" i="17"/>
  <c r="D205" i="17"/>
  <c r="D206" i="17"/>
  <c r="D207" i="17"/>
  <c r="D208" i="17"/>
  <c r="D209" i="17"/>
  <c r="D210" i="17"/>
  <c r="D211" i="17"/>
  <c r="D212" i="17"/>
  <c r="D213" i="17"/>
  <c r="D214" i="17"/>
  <c r="D215" i="17"/>
  <c r="D217" i="17"/>
  <c r="D218" i="17"/>
  <c r="C217" i="17"/>
  <c r="I217" i="17"/>
  <c r="C214" i="17"/>
  <c r="I214" i="17" s="1"/>
  <c r="C213" i="17"/>
  <c r="C211" i="17"/>
  <c r="I211" i="17" s="1"/>
  <c r="C210" i="17"/>
  <c r="I210" i="17"/>
  <c r="C209" i="17"/>
  <c r="I209" i="17" s="1"/>
  <c r="C207" i="17"/>
  <c r="I207" i="17"/>
  <c r="C205" i="17"/>
  <c r="I205" i="17" s="1"/>
  <c r="C203" i="17"/>
  <c r="I203" i="17" s="1"/>
  <c r="C201" i="17"/>
  <c r="I201" i="17" s="1"/>
  <c r="C200" i="17"/>
  <c r="C199" i="17"/>
  <c r="I199" i="17" s="1"/>
  <c r="C198" i="17"/>
  <c r="I198" i="17"/>
  <c r="C197" i="17"/>
  <c r="I197" i="17" s="1"/>
  <c r="C196" i="17"/>
  <c r="C195" i="17"/>
  <c r="I195" i="17" s="1"/>
  <c r="C193" i="17"/>
  <c r="I193" i="17"/>
  <c r="C192" i="17"/>
  <c r="I192" i="17" s="1"/>
  <c r="C191" i="17"/>
  <c r="C181" i="17"/>
  <c r="I181" i="17" s="1"/>
  <c r="C187" i="17"/>
  <c r="I187" i="17" s="1"/>
  <c r="C186" i="17"/>
  <c r="I186" i="17" s="1"/>
  <c r="C185" i="17"/>
  <c r="I185" i="17"/>
  <c r="C183" i="17"/>
  <c r="I183" i="17" s="1"/>
  <c r="C182" i="17"/>
  <c r="C178" i="17"/>
  <c r="I178" i="17" s="1"/>
  <c r="C177" i="17"/>
  <c r="I177" i="17" s="1"/>
  <c r="C176" i="17"/>
  <c r="I176" i="17" s="1"/>
  <c r="C175" i="17"/>
  <c r="I175" i="17"/>
  <c r="C174" i="17"/>
  <c r="I174" i="17" s="1"/>
  <c r="C173" i="17"/>
  <c r="I173" i="17"/>
  <c r="C172" i="17"/>
  <c r="I172" i="17" s="1"/>
  <c r="C171" i="17"/>
  <c r="I171" i="17" s="1"/>
  <c r="C169" i="17"/>
  <c r="I169" i="17" s="1"/>
  <c r="C168" i="17"/>
  <c r="C167" i="17"/>
  <c r="I167" i="17" s="1"/>
  <c r="C166" i="17"/>
  <c r="I166" i="17"/>
  <c r="C165" i="17"/>
  <c r="I165" i="17" s="1"/>
  <c r="C163" i="17"/>
  <c r="C161" i="17"/>
  <c r="I161" i="17" s="1"/>
  <c r="C160" i="17"/>
  <c r="I160" i="17"/>
  <c r="C159" i="17"/>
  <c r="I159" i="17" s="1"/>
  <c r="C157" i="17"/>
  <c r="I157" i="17"/>
  <c r="C155" i="17"/>
  <c r="I155" i="17" s="1"/>
  <c r="C152" i="17"/>
  <c r="I152" i="17" s="1"/>
  <c r="C151" i="17"/>
  <c r="I151" i="17" s="1"/>
  <c r="C149" i="17"/>
  <c r="I149" i="17" s="1"/>
  <c r="C148" i="17"/>
  <c r="C145" i="17"/>
  <c r="I145" i="17"/>
  <c r="C144" i="17"/>
  <c r="I144" i="17" s="1"/>
  <c r="C142" i="17"/>
  <c r="C141" i="17"/>
  <c r="I141" i="17" s="1"/>
  <c r="C139" i="17"/>
  <c r="I139" i="17" s="1"/>
  <c r="C137" i="17"/>
  <c r="I137" i="17" s="1"/>
  <c r="C136" i="17"/>
  <c r="I136" i="17"/>
  <c r="C135" i="17"/>
  <c r="I135" i="17" s="1"/>
  <c r="C133" i="17"/>
  <c r="I133" i="17"/>
  <c r="C132" i="17"/>
  <c r="I132" i="17" s="1"/>
  <c r="C131" i="17"/>
  <c r="I131" i="17" s="1"/>
  <c r="C129" i="17"/>
  <c r="I129" i="17" s="1"/>
  <c r="C128" i="17"/>
  <c r="I128" i="17" s="1"/>
  <c r="C127" i="17"/>
  <c r="C126" i="17"/>
  <c r="C122" i="17"/>
  <c r="I122" i="17" s="1"/>
  <c r="C121" i="17"/>
  <c r="I121" i="17" s="1"/>
  <c r="C120" i="17"/>
  <c r="I120" i="17" s="1"/>
  <c r="C119" i="17"/>
  <c r="I119" i="17" s="1"/>
  <c r="C118" i="17"/>
  <c r="I118" i="17" s="1"/>
  <c r="C117" i="17"/>
  <c r="I117" i="17"/>
  <c r="C115" i="17"/>
  <c r="I115" i="17" s="1"/>
  <c r="C114" i="17"/>
  <c r="I114" i="17"/>
  <c r="C113" i="17"/>
  <c r="I113" i="17" s="1"/>
  <c r="C112" i="17"/>
  <c r="C111" i="17"/>
  <c r="I111" i="17" s="1"/>
  <c r="C110" i="17"/>
  <c r="I110" i="17"/>
  <c r="C109" i="17"/>
  <c r="I109" i="17" s="1"/>
  <c r="C106" i="17"/>
  <c r="I106" i="17"/>
  <c r="C105" i="17"/>
  <c r="I105" i="17" s="1"/>
  <c r="C102" i="17"/>
  <c r="C94" i="17"/>
  <c r="I94" i="17" s="1"/>
  <c r="C93" i="17"/>
  <c r="I93" i="17"/>
  <c r="C92" i="17"/>
  <c r="I92" i="17" s="1"/>
  <c r="C91" i="17"/>
  <c r="C90" i="17"/>
  <c r="I90" i="17" s="1"/>
  <c r="C87" i="17"/>
  <c r="C86" i="17"/>
  <c r="I86" i="17" s="1"/>
  <c r="C85" i="17"/>
  <c r="I85" i="17"/>
  <c r="C82" i="17"/>
  <c r="I82" i="17" s="1"/>
  <c r="C81" i="17"/>
  <c r="C80" i="17"/>
  <c r="I80" i="17" s="1"/>
  <c r="C79" i="17"/>
  <c r="I79" i="17"/>
  <c r="C78" i="17"/>
  <c r="I78" i="17" s="1"/>
  <c r="C76" i="17"/>
  <c r="I76" i="17"/>
  <c r="C75" i="17"/>
  <c r="I75" i="17" s="1"/>
  <c r="C74" i="17"/>
  <c r="I74" i="17" s="1"/>
  <c r="C73" i="17"/>
  <c r="I73" i="17" s="1"/>
  <c r="C72" i="17"/>
  <c r="I72" i="17" s="1"/>
  <c r="C71" i="17"/>
  <c r="I71" i="17" s="1"/>
  <c r="C70" i="17"/>
  <c r="I70" i="17"/>
  <c r="C69" i="17"/>
  <c r="I69" i="17" s="1"/>
  <c r="C68" i="17"/>
  <c r="I68" i="17"/>
  <c r="C67" i="17"/>
  <c r="I67" i="17" s="1"/>
  <c r="C65" i="17"/>
  <c r="C63" i="17"/>
  <c r="I63" i="17" s="1"/>
  <c r="C62" i="17"/>
  <c r="I62" i="17"/>
  <c r="C61" i="17"/>
  <c r="I61" i="17" s="1"/>
  <c r="C60" i="17"/>
  <c r="I60" i="17"/>
  <c r="C59" i="17"/>
  <c r="I59" i="17" s="1"/>
  <c r="C58" i="17"/>
  <c r="I58" i="17" s="1"/>
  <c r="C56" i="17"/>
  <c r="I56" i="17" s="1"/>
  <c r="C55" i="17"/>
  <c r="I55" i="17" s="1"/>
  <c r="C52" i="17"/>
  <c r="I52" i="17" s="1"/>
  <c r="C51" i="17"/>
  <c r="I51" i="17"/>
  <c r="C48" i="17"/>
  <c r="I48" i="17" s="1"/>
  <c r="C47" i="17"/>
  <c r="I47" i="17"/>
  <c r="C46" i="17"/>
  <c r="I46" i="17" s="1"/>
  <c r="C43" i="17"/>
  <c r="I43" i="17" s="1"/>
  <c r="C42" i="17"/>
  <c r="I42" i="17" s="1"/>
  <c r="C41" i="17"/>
  <c r="I41" i="17" s="1"/>
  <c r="C40" i="17"/>
  <c r="I40" i="17" s="1"/>
  <c r="C39" i="17"/>
  <c r="I39" i="17"/>
  <c r="C38" i="17"/>
  <c r="I38" i="17" s="1"/>
  <c r="C37" i="17"/>
  <c r="I37" i="17"/>
  <c r="C35" i="17"/>
  <c r="I35" i="17" s="1"/>
  <c r="C33" i="17"/>
  <c r="I33" i="17" s="1"/>
  <c r="C32" i="17"/>
  <c r="I32" i="17" s="1"/>
  <c r="C31" i="17"/>
  <c r="I31" i="17" s="1"/>
  <c r="C30" i="17"/>
  <c r="I30" i="17" s="1"/>
  <c r="C29" i="17"/>
  <c r="I29" i="17"/>
  <c r="C28" i="17"/>
  <c r="I28" i="17" s="1"/>
  <c r="C26" i="17"/>
  <c r="I26" i="17"/>
  <c r="C25" i="17"/>
  <c r="I25" i="17" s="1"/>
  <c r="C23" i="17"/>
  <c r="I23" i="17" s="1"/>
  <c r="C20" i="17"/>
  <c r="I20" i="17" s="1"/>
  <c r="C19" i="17"/>
  <c r="I19" i="17" s="1"/>
  <c r="C18" i="17"/>
  <c r="I18" i="17" s="1"/>
  <c r="C17" i="17"/>
  <c r="I17" i="17"/>
  <c r="C16" i="17"/>
  <c r="I16" i="17" s="1"/>
  <c r="C15" i="17"/>
  <c r="I15" i="17"/>
  <c r="C14" i="17"/>
  <c r="I14" i="17" s="1"/>
  <c r="C13" i="17"/>
  <c r="I13" i="17" s="1"/>
  <c r="C12" i="17"/>
  <c r="I12" i="17" s="1"/>
  <c r="C11" i="17"/>
  <c r="I11" i="17" s="1"/>
  <c r="C8" i="17"/>
  <c r="I8" i="17" s="1"/>
  <c r="C7" i="17"/>
  <c r="I7" i="17"/>
  <c r="C5" i="17"/>
  <c r="I5" i="17" s="1"/>
  <c r="C6" i="17"/>
  <c r="I6" i="17"/>
  <c r="H13" i="18"/>
  <c r="H14" i="18"/>
  <c r="H15" i="18"/>
  <c r="H16" i="18"/>
  <c r="H17" i="18"/>
  <c r="H18" i="18"/>
  <c r="H19" i="18"/>
  <c r="H20" i="18"/>
  <c r="H21" i="18"/>
  <c r="H22" i="18"/>
  <c r="H23" i="18"/>
  <c r="H12" i="18"/>
  <c r="G13" i="18"/>
  <c r="G14" i="18"/>
  <c r="G15" i="18"/>
  <c r="G16" i="18"/>
  <c r="G17" i="18"/>
  <c r="G18" i="18"/>
  <c r="G19" i="18"/>
  <c r="G20" i="18"/>
  <c r="G21" i="18"/>
  <c r="G22" i="18"/>
  <c r="G23" i="18"/>
  <c r="G12" i="18"/>
  <c r="P36" i="19"/>
  <c r="P35" i="19"/>
  <c r="P34" i="19"/>
  <c r="P33" i="19"/>
  <c r="P22" i="19"/>
  <c r="P20" i="19"/>
  <c r="P19" i="19"/>
  <c r="P18" i="19"/>
  <c r="P17" i="19"/>
  <c r="P16" i="19"/>
  <c r="P15" i="19"/>
  <c r="P14" i="19"/>
  <c r="P13" i="19"/>
  <c r="P12" i="19"/>
  <c r="P11" i="19"/>
  <c r="P10" i="19"/>
  <c r="P9" i="19"/>
  <c r="P8" i="19"/>
  <c r="P7" i="19"/>
  <c r="P6" i="19"/>
  <c r="O36" i="19"/>
  <c r="N36" i="19"/>
  <c r="M36" i="19"/>
  <c r="L36" i="19"/>
  <c r="K36" i="19"/>
  <c r="J36" i="19"/>
  <c r="I36" i="19"/>
  <c r="H36" i="19"/>
  <c r="G36" i="19"/>
  <c r="F36" i="19"/>
  <c r="E36" i="19"/>
  <c r="D36" i="19"/>
  <c r="C36" i="19"/>
  <c r="O35" i="19"/>
  <c r="N35" i="19"/>
  <c r="M35" i="19"/>
  <c r="L35" i="19"/>
  <c r="K35" i="19"/>
  <c r="J35" i="19"/>
  <c r="I35" i="19"/>
  <c r="H35" i="19"/>
  <c r="G35" i="19"/>
  <c r="F35" i="19"/>
  <c r="E35" i="19"/>
  <c r="D35" i="19"/>
  <c r="C35" i="19"/>
  <c r="O34" i="19"/>
  <c r="N34" i="19"/>
  <c r="M34" i="19"/>
  <c r="L34" i="19"/>
  <c r="K34" i="19"/>
  <c r="J34" i="19"/>
  <c r="I34" i="19"/>
  <c r="H34" i="19"/>
  <c r="G34" i="19"/>
  <c r="F34" i="19"/>
  <c r="E34" i="19"/>
  <c r="D34" i="19"/>
  <c r="C34" i="19"/>
  <c r="O33" i="19"/>
  <c r="N33" i="19"/>
  <c r="M33" i="19"/>
  <c r="L33" i="19"/>
  <c r="K33" i="19"/>
  <c r="J33" i="19"/>
  <c r="I33" i="19"/>
  <c r="H33" i="19"/>
  <c r="G33" i="19"/>
  <c r="F33" i="19"/>
  <c r="E33" i="19"/>
  <c r="D33" i="19"/>
  <c r="C33" i="19"/>
  <c r="D22" i="19"/>
  <c r="E22" i="19"/>
  <c r="F22" i="19"/>
  <c r="G22" i="19"/>
  <c r="H22" i="19"/>
  <c r="I22" i="19"/>
  <c r="J22" i="19"/>
  <c r="K22" i="19"/>
  <c r="L22" i="19"/>
  <c r="M22" i="19"/>
  <c r="N22" i="19"/>
  <c r="O22" i="19"/>
  <c r="C22" i="19"/>
  <c r="G7" i="18"/>
  <c r="G8" i="18"/>
  <c r="G9" i="18"/>
  <c r="G10" i="18"/>
  <c r="G11" i="18"/>
  <c r="G6" i="18"/>
  <c r="H7" i="18"/>
  <c r="H8" i="18"/>
  <c r="H9" i="18"/>
  <c r="H10" i="18"/>
  <c r="H11" i="18"/>
  <c r="H6" i="18"/>
  <c r="H25" i="7"/>
  <c r="H23" i="7"/>
  <c r="H22" i="7"/>
  <c r="H21" i="7"/>
  <c r="H20" i="7"/>
  <c r="H19" i="7"/>
  <c r="H18" i="7"/>
  <c r="H29" i="7"/>
  <c r="H28" i="7"/>
  <c r="H27" i="7"/>
  <c r="H26" i="7"/>
  <c r="H16" i="7"/>
  <c r="H15" i="7"/>
  <c r="H14" i="7"/>
  <c r="H13" i="7"/>
  <c r="H12" i="7"/>
  <c r="H11" i="7"/>
  <c r="H10" i="7"/>
  <c r="H9" i="7"/>
  <c r="H8" i="7"/>
  <c r="H7" i="7"/>
  <c r="G29" i="7"/>
  <c r="G28" i="7"/>
  <c r="G27" i="7"/>
  <c r="G26" i="7"/>
  <c r="G25" i="7"/>
  <c r="G23" i="7"/>
  <c r="G22" i="7"/>
  <c r="G21" i="7"/>
  <c r="G20" i="7"/>
  <c r="G19" i="7"/>
  <c r="G18" i="7"/>
  <c r="G16" i="7"/>
  <c r="G15" i="7"/>
  <c r="G14" i="7"/>
  <c r="G13" i="7"/>
  <c r="G12" i="7"/>
  <c r="G11" i="7"/>
  <c r="G10" i="7"/>
  <c r="G9" i="7"/>
  <c r="G8" i="7"/>
  <c r="G7" i="7"/>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D5" i="6"/>
  <c r="E5" i="6" s="1"/>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6" i="6"/>
  <c r="D65" i="6"/>
  <c r="D64" i="6"/>
  <c r="D63" i="6"/>
  <c r="D62" i="6"/>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E5" i="5" s="1"/>
  <c r="E6" i="5" l="1"/>
  <c r="E7" i="5" s="1"/>
  <c r="E8" i="5" s="1"/>
  <c r="E9" i="5" s="1"/>
  <c r="I10" i="18"/>
  <c r="E6" i="6"/>
  <c r="E7" i="6" s="1"/>
  <c r="E8" i="6" s="1"/>
  <c r="E9" i="6" s="1"/>
  <c r="E10" i="6" s="1"/>
  <c r="E11" i="6" s="1"/>
  <c r="E12" i="6" s="1"/>
  <c r="E13" i="6" s="1"/>
  <c r="E14" i="6" s="1"/>
  <c r="E15" i="6" s="1"/>
  <c r="E16" i="6" s="1"/>
  <c r="E17" i="6" s="1"/>
  <c r="E18" i="6" s="1"/>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57" i="6" s="1"/>
  <c r="E58" i="6" s="1"/>
  <c r="E59" i="6" s="1"/>
  <c r="E60" i="6" s="1"/>
  <c r="E61" i="6" s="1"/>
  <c r="I9" i="18"/>
  <c r="I127" i="17"/>
  <c r="I148" i="17"/>
  <c r="I65" i="17"/>
  <c r="I81" i="17"/>
  <c r="I87" i="17"/>
  <c r="I91" i="17"/>
  <c r="I102" i="17"/>
  <c r="I112" i="17"/>
  <c r="I126" i="17"/>
  <c r="I142" i="17"/>
  <c r="I163" i="17"/>
  <c r="I168" i="17"/>
  <c r="I182" i="17"/>
  <c r="I191" i="17"/>
  <c r="I196" i="17"/>
  <c r="I200" i="17"/>
  <c r="I213" i="17"/>
  <c r="L6" i="18"/>
  <c r="I8" i="18"/>
  <c r="E10" i="5"/>
  <c r="E11" i="5" s="1"/>
  <c r="E12" i="5" s="1"/>
  <c r="E13" i="5" s="1"/>
  <c r="E14" i="5" s="1"/>
  <c r="E15" i="5" s="1"/>
  <c r="E16" i="5" s="1"/>
  <c r="E17" i="5" s="1"/>
  <c r="E18" i="5" s="1"/>
  <c r="E19" i="5" s="1"/>
  <c r="E20" i="5" s="1"/>
  <c r="E21" i="5" s="1"/>
  <c r="E22" i="5" s="1"/>
  <c r="E23" i="5" s="1"/>
  <c r="E24" i="5" s="1"/>
  <c r="E25" i="5" s="1"/>
  <c r="E26" i="5" s="1"/>
  <c r="E27" i="5" s="1"/>
  <c r="E28" i="5" s="1"/>
  <c r="E29" i="5" s="1"/>
  <c r="E30" i="5" s="1"/>
  <c r="E31" i="5" s="1"/>
  <c r="E32" i="5" s="1"/>
  <c r="E33" i="5" s="1"/>
  <c r="E34" i="5" s="1"/>
  <c r="E35" i="5" s="1"/>
  <c r="E36" i="5" s="1"/>
  <c r="E37" i="5" s="1"/>
  <c r="E38" i="5" s="1"/>
  <c r="E39" i="5" s="1"/>
  <c r="E40" i="5" s="1"/>
  <c r="E41" i="5" s="1"/>
  <c r="E42" i="5" s="1"/>
  <c r="E43" i="5" s="1"/>
  <c r="E44" i="5" s="1"/>
  <c r="E45" i="5" s="1"/>
  <c r="E46" i="5" s="1"/>
  <c r="E47" i="5" s="1"/>
  <c r="E48" i="5" s="1"/>
  <c r="E49" i="5" s="1"/>
  <c r="E50" i="5" s="1"/>
  <c r="E51" i="5" s="1"/>
  <c r="E52" i="5" s="1"/>
  <c r="E53" i="5" s="1"/>
  <c r="E54" i="5" s="1"/>
  <c r="E55" i="5" s="1"/>
  <c r="E56" i="5" s="1"/>
  <c r="E57" i="5" s="1"/>
  <c r="E58" i="5" s="1"/>
  <c r="E59" i="5" s="1"/>
  <c r="E60" i="5" s="1"/>
  <c r="E61" i="5" s="1"/>
  <c r="I14" i="18"/>
  <c r="L12" i="18"/>
  <c r="I13" i="18"/>
  <c r="I23" i="18"/>
  <c r="I12" i="18"/>
  <c r="I19" i="18"/>
  <c r="I21" i="18"/>
  <c r="I15" i="18"/>
  <c r="L20" i="18"/>
  <c r="I20" i="18"/>
  <c r="L22" i="18"/>
  <c r="I22" i="18"/>
  <c r="L18" i="18"/>
  <c r="I18" i="18"/>
  <c r="I16" i="18"/>
  <c r="I108" i="17"/>
  <c r="I7" i="18"/>
  <c r="I6" i="18"/>
</calcChain>
</file>

<file path=xl/sharedStrings.xml><?xml version="1.0" encoding="utf-8"?>
<sst xmlns="http://schemas.openxmlformats.org/spreadsheetml/2006/main" count="1407" uniqueCount="345">
  <si>
    <t>OEm</t>
  </si>
  <si>
    <t>Observatório da Emigração</t>
  </si>
  <si>
    <t>Definições</t>
  </si>
  <si>
    <t>Fontes</t>
  </si>
  <si>
    <t>link</t>
  </si>
  <si>
    <t>Nova Zelândia</t>
  </si>
  <si>
    <t>Polónia</t>
  </si>
  <si>
    <t>Reino Unido</t>
  </si>
  <si>
    <t>República Checa</t>
  </si>
  <si>
    <t>Saldo</t>
  </si>
  <si>
    <t>Total</t>
  </si>
  <si>
    <t>África do Sul</t>
  </si>
  <si>
    <t>Alemanha</t>
  </si>
  <si>
    <t>Angola</t>
  </si>
  <si>
    <t>Arábia Saudita</t>
  </si>
  <si>
    <t>Argélia</t>
  </si>
  <si>
    <t>Argentina</t>
  </si>
  <si>
    <t>Austrália</t>
  </si>
  <si>
    <t>Áustria</t>
  </si>
  <si>
    <t>Bélgica</t>
  </si>
  <si>
    <t>Brasil</t>
  </si>
  <si>
    <t>Bulgária</t>
  </si>
  <si>
    <t>Cabo Verde</t>
  </si>
  <si>
    <t>Canadá</t>
  </si>
  <si>
    <t>China</t>
  </si>
  <si>
    <t>Chipre</t>
  </si>
  <si>
    <t>Croácia</t>
  </si>
  <si>
    <t>Dinamarca</t>
  </si>
  <si>
    <t>Eslováquia</t>
  </si>
  <si>
    <t>Eslovénia</t>
  </si>
  <si>
    <t>Espanha</t>
  </si>
  <si>
    <t>EUA</t>
  </si>
  <si>
    <t>Estónia</t>
  </si>
  <si>
    <t>Finlândia</t>
  </si>
  <si>
    <t>França</t>
  </si>
  <si>
    <t>Grécia</t>
  </si>
  <si>
    <t>Guiné-Bissau</t>
  </si>
  <si>
    <t>Holanda</t>
  </si>
  <si>
    <t>Hungria</t>
  </si>
  <si>
    <t>Índia</t>
  </si>
  <si>
    <t>Irlanda</t>
  </si>
  <si>
    <t>Islândia</t>
  </si>
  <si>
    <t>Itália</t>
  </si>
  <si>
    <t>Japão</t>
  </si>
  <si>
    <t>Letónia</t>
  </si>
  <si>
    <t>Lituânia</t>
  </si>
  <si>
    <t>Luxemburgo</t>
  </si>
  <si>
    <t>Malta</t>
  </si>
  <si>
    <t>Marrocos</t>
  </si>
  <si>
    <t>México</t>
  </si>
  <si>
    <t>Moçambique</t>
  </si>
  <si>
    <t>Nigéria</t>
  </si>
  <si>
    <t>Noruega</t>
  </si>
  <si>
    <t>Roménia</t>
  </si>
  <si>
    <t>Rússia</t>
  </si>
  <si>
    <t>São Tomé e Príncipe</t>
  </si>
  <si>
    <t>Suécia</t>
  </si>
  <si>
    <t>Suíça</t>
  </si>
  <si>
    <t>Turquia</t>
  </si>
  <si>
    <t>Ucrânia</t>
  </si>
  <si>
    <t>Venezuela</t>
  </si>
  <si>
    <t>(euros, milhares)</t>
  </si>
  <si>
    <t>Países</t>
  </si>
  <si>
    <t>Fonte</t>
  </si>
  <si>
    <t>Outros</t>
  </si>
  <si>
    <t>Valor</t>
  </si>
  <si>
    <t>Percentagem</t>
  </si>
  <si>
    <t>Percentagem
acumulada</t>
  </si>
  <si>
    <t>—</t>
  </si>
  <si>
    <t>OCDE</t>
  </si>
  <si>
    <t>PALOP</t>
  </si>
  <si>
    <t>União Europeia (UE27)</t>
  </si>
  <si>
    <t>Zona Euro (15)</t>
  </si>
  <si>
    <t>Rácio</t>
  </si>
  <si>
    <t>Débito: pagamentos de transferências a não residentes (remessas de imigrantes).</t>
  </si>
  <si>
    <t>Crédito: recebimentos de transferências provenientes de não residentes (remessas de emigrantes).</t>
  </si>
  <si>
    <t>Remessas: transferências correntes efectuadas por emigrantes/imigrantes 
quando são considerados residentes da economia onde trabalham.</t>
  </si>
  <si>
    <t>(a) créditos/débitos</t>
  </si>
  <si>
    <t>(b) débitos/créditos</t>
  </si>
  <si>
    <t>Nota</t>
  </si>
  <si>
    <r>
      <t xml:space="preserve">O modo de cálculo do rácio apresentado na última coluna depende do valor (positivo ou negativo) do saldo entre créditos e débitos.
</t>
    </r>
    <r>
      <rPr>
        <b/>
        <sz val="8"/>
        <rFont val="Arial"/>
        <family val="2"/>
      </rPr>
      <t>(a)</t>
    </r>
    <r>
      <rPr>
        <sz val="8"/>
        <rFont val="Arial"/>
        <family val="2"/>
      </rPr>
      <t xml:space="preserve"> Quando os créditos são superiores aos débitos (saldo positivo), o rácio é calculado dividindo créditos por débitos. Assim, no caso de França, o valor obtido significa que as remessas enviadas para Portugal pelos portugueses residentes em França são 44 vezes superiores às remessas enviadas para França pelos franceses residentes em Portugal.
</t>
    </r>
    <r>
      <rPr>
        <b/>
        <sz val="8"/>
        <rFont val="Arial"/>
        <family val="2"/>
      </rPr>
      <t>(b)</t>
    </r>
    <r>
      <rPr>
        <sz val="8"/>
        <rFont val="Arial"/>
        <family val="2"/>
      </rPr>
      <t xml:space="preserve"> Quando os débitos são superiores aos créditos (saldo negativo) o rácio é calculado dividindo débitos por créditos. Assim, no caso do Brasil, o valor obtido significa que as remessas enviadas para o Brasil pelos brasileiros residentes em Portugal são 15 vezes superiores às remessas enviadas para Portugal pelos portugueses residentes no Brasil.</t>
    </r>
  </si>
  <si>
    <t>As remessas de emigrantes oriundas destes dez países representam 93% do valor total das remessas recebidas em Portugal.</t>
  </si>
  <si>
    <t>Andorra</t>
  </si>
  <si>
    <t>Aruba</t>
  </si>
  <si>
    <t>Bahrain</t>
  </si>
  <si>
    <t>Bangladesh</t>
  </si>
  <si>
    <t>Barbados</t>
  </si>
  <si>
    <t>Belize</t>
  </si>
  <si>
    <t>Bermuda</t>
  </si>
  <si>
    <t>Botswana</t>
  </si>
  <si>
    <t>Burkina Faso</t>
  </si>
  <si>
    <t>Burundi</t>
  </si>
  <si>
    <t>Chile</t>
  </si>
  <si>
    <t>Costa Rica</t>
  </si>
  <si>
    <t>Cuba</t>
  </si>
  <si>
    <t>Djibouti</t>
  </si>
  <si>
    <t>Dominica</t>
  </si>
  <si>
    <t>El Salvador</t>
  </si>
  <si>
    <t>Fiji</t>
  </si>
  <si>
    <t>Guam</t>
  </si>
  <si>
    <t>Guatemala</t>
  </si>
  <si>
    <t>Haiti</t>
  </si>
  <si>
    <t>Honduras</t>
  </si>
  <si>
    <t>Hong Kong SAR, China</t>
  </si>
  <si>
    <t>Israel</t>
  </si>
  <si>
    <t>Jamaica</t>
  </si>
  <si>
    <t>Kiribati</t>
  </si>
  <si>
    <t>Kosovo</t>
  </si>
  <si>
    <t>Kuwait</t>
  </si>
  <si>
    <t>Liechtenstein</t>
  </si>
  <si>
    <t>Malawi</t>
  </si>
  <si>
    <t>Mali</t>
  </si>
  <si>
    <t>Montenegro</t>
  </si>
  <si>
    <t>Myanmar</t>
  </si>
  <si>
    <t>Nepal</t>
  </si>
  <si>
    <t>Palau</t>
  </si>
  <si>
    <t>Peru</t>
  </si>
  <si>
    <t>Portugal</t>
  </si>
  <si>
    <t>Qatar</t>
  </si>
  <si>
    <t>Samoa</t>
  </si>
  <si>
    <t>Senegal</t>
  </si>
  <si>
    <t>Seychelles</t>
  </si>
  <si>
    <t>Sri Lanka</t>
  </si>
  <si>
    <t>Suriname</t>
  </si>
  <si>
    <t>Timor-Leste</t>
  </si>
  <si>
    <t>Togo</t>
  </si>
  <si>
    <t>Tonga</t>
  </si>
  <si>
    <t>Tuvalu</t>
  </si>
  <si>
    <t>Uganda</t>
  </si>
  <si>
    <t>Vanuatu</t>
  </si>
  <si>
    <t>% do PIB</t>
  </si>
  <si>
    <t>..</t>
  </si>
  <si>
    <t>(dólares, milhares)</t>
  </si>
  <si>
    <t>Remessas</t>
  </si>
  <si>
    <t>% das exportações</t>
  </si>
  <si>
    <t>Afeganistão</t>
  </si>
  <si>
    <t>Arménia</t>
  </si>
  <si>
    <t>Azerbaijão</t>
  </si>
  <si>
    <t>Bahamas</t>
  </si>
  <si>
    <t>Bielorrússia</t>
  </si>
  <si>
    <t>Butão</t>
  </si>
  <si>
    <t>Bolívia</t>
  </si>
  <si>
    <t>Bósnia e Herzegovina</t>
  </si>
  <si>
    <t xml:space="preserve">Brunei </t>
  </si>
  <si>
    <t>Camarões</t>
  </si>
  <si>
    <t>Ilhas Caimão</t>
  </si>
  <si>
    <t>República Centro Africana</t>
  </si>
  <si>
    <t>Chade</t>
  </si>
  <si>
    <t>Ilhas do Canal</t>
  </si>
  <si>
    <t>Colômbia</t>
  </si>
  <si>
    <t>Comores</t>
  </si>
  <si>
    <t>Congo</t>
  </si>
  <si>
    <t>Congo, República Democrática</t>
  </si>
  <si>
    <t>Curação</t>
  </si>
  <si>
    <t xml:space="preserve">República Dominicana </t>
  </si>
  <si>
    <t>Equador</t>
  </si>
  <si>
    <t xml:space="preserve">Guiné Equatorial </t>
  </si>
  <si>
    <t>Eritreia</t>
  </si>
  <si>
    <t>Etiópia</t>
  </si>
  <si>
    <t>Polinésia Francesa</t>
  </si>
  <si>
    <t xml:space="preserve">Gabão </t>
  </si>
  <si>
    <t>Gambia</t>
  </si>
  <si>
    <t>Gana</t>
  </si>
  <si>
    <t>Gronelândia</t>
  </si>
  <si>
    <t>Granada</t>
  </si>
  <si>
    <t xml:space="preserve">Guiné </t>
  </si>
  <si>
    <t>Guiana</t>
  </si>
  <si>
    <t>Indonésia</t>
  </si>
  <si>
    <t>Irão</t>
  </si>
  <si>
    <t>Ilha de Man</t>
  </si>
  <si>
    <t>Jordânia</t>
  </si>
  <si>
    <t>Quénia</t>
  </si>
  <si>
    <t>Coreia do Norte</t>
  </si>
  <si>
    <t>Coreia</t>
  </si>
  <si>
    <t>Quirguistão</t>
  </si>
  <si>
    <t>Laos</t>
  </si>
  <si>
    <t>Líbano</t>
  </si>
  <si>
    <t>Lesoto</t>
  </si>
  <si>
    <t>Libéria</t>
  </si>
  <si>
    <t>Líbia</t>
  </si>
  <si>
    <t>Macedónia</t>
  </si>
  <si>
    <t>Madagáscar</t>
  </si>
  <si>
    <t>Malásia</t>
  </si>
  <si>
    <t>Maldivas</t>
  </si>
  <si>
    <t>Ilhas Marshall</t>
  </si>
  <si>
    <t>Mauritânia</t>
  </si>
  <si>
    <t>Maurícias</t>
  </si>
  <si>
    <t>Micronésia</t>
  </si>
  <si>
    <t>Moldávia</t>
  </si>
  <si>
    <t>Mónaco</t>
  </si>
  <si>
    <t>Mongólia</t>
  </si>
  <si>
    <t>Namíbia</t>
  </si>
  <si>
    <t>Nova Caledónia</t>
  </si>
  <si>
    <t>Nicarágua</t>
  </si>
  <si>
    <t>Ilhas Mariana do Norte</t>
  </si>
  <si>
    <t>Omã</t>
  </si>
  <si>
    <t>Paquistão</t>
  </si>
  <si>
    <t>Panamá</t>
  </si>
  <si>
    <t>Papua Nova Guiné</t>
  </si>
  <si>
    <t>Paraguai</t>
  </si>
  <si>
    <t>Filipinas</t>
  </si>
  <si>
    <t>Porto Rico</t>
  </si>
  <si>
    <t>Ruanda</t>
  </si>
  <si>
    <t>São Marino</t>
  </si>
  <si>
    <t>Sérvia</t>
  </si>
  <si>
    <t>Serra Leoa</t>
  </si>
  <si>
    <t>Singapura</t>
  </si>
  <si>
    <t>Ilhas Salomão</t>
  </si>
  <si>
    <t>Somália</t>
  </si>
  <si>
    <t>Sudão</t>
  </si>
  <si>
    <t>Sudão do sul</t>
  </si>
  <si>
    <t>Santa Lúcia</t>
  </si>
  <si>
    <t>Suazilândia</t>
  </si>
  <si>
    <t>Síria</t>
  </si>
  <si>
    <t>Tajiquistão</t>
  </si>
  <si>
    <t>Tanzânia</t>
  </si>
  <si>
    <t>Tailândia</t>
  </si>
  <si>
    <t>Tunísia</t>
  </si>
  <si>
    <t>Turquemenistão</t>
  </si>
  <si>
    <t>Uruguai</t>
  </si>
  <si>
    <t>Uzbequistão</t>
  </si>
  <si>
    <t>Vietname</t>
  </si>
  <si>
    <t>Ilhas Virgem (U.S.)</t>
  </si>
  <si>
    <t>Iémen</t>
  </si>
  <si>
    <t>Zâmbia</t>
  </si>
  <si>
    <t>Zimbabué</t>
  </si>
  <si>
    <t>PIB</t>
  </si>
  <si>
    <t>Exportações</t>
  </si>
  <si>
    <t>Ano</t>
  </si>
  <si>
    <t>Evolução em termos absolutos</t>
  </si>
  <si>
    <t>Evolução relativa, 
2002=100</t>
  </si>
  <si>
    <t>Evolução 2012-2013, em %</t>
  </si>
  <si>
    <t>Remessas 
em % do PIB</t>
  </si>
  <si>
    <t>Remessas em % das exportações</t>
  </si>
  <si>
    <t>Valor das
 remessas</t>
  </si>
  <si>
    <t>Evolução 2002-2013, em %</t>
  </si>
  <si>
    <t>Evolução, 2002=100</t>
  </si>
  <si>
    <t>Albânia</t>
  </si>
  <si>
    <t>São Martinho (parte Holandesa)</t>
  </si>
  <si>
    <t>São Martinho (parte Francesa)</t>
  </si>
  <si>
    <t xml:space="preserve">Ilhas Turks e Caicos </t>
  </si>
  <si>
    <t>West Bank e Gaza</t>
  </si>
  <si>
    <t>Séries nacionais</t>
  </si>
  <si>
    <t>PIB (séries internacionais): produto interno bruto a preços de mercado, preços correntes (US$).</t>
  </si>
  <si>
    <t>Séries internacionais</t>
  </si>
  <si>
    <t>As remessas de emigrantes enviadas para estes dez países representam 83% do valor total das remessas enviadas de Portugal.</t>
  </si>
  <si>
    <t>Origem</t>
  </si>
  <si>
    <t>Periocidade</t>
  </si>
  <si>
    <t>Remessas: recenseamento administrativo a cargo do Banco de Portugal.</t>
  </si>
  <si>
    <t>Remessas: dados das contas nacionais harmonizados pela OCDE e pelo Banco Mundial.</t>
  </si>
  <si>
    <t>PIB: estudo analítico a cargo do Banco de Portugal e do Instituto Nacional de Estatística.</t>
  </si>
  <si>
    <t>Exportações (séries internacionais): exportações de bens e serviços, preços correntes (US$).</t>
  </si>
  <si>
    <t>Remessas: mensal /anual (ano civil).</t>
  </si>
  <si>
    <t>Exportações: mensal /anual (ano civil).</t>
  </si>
  <si>
    <t>PIB: anual (ano civil).</t>
  </si>
  <si>
    <t>Remessas: anual (ano civil).</t>
  </si>
  <si>
    <t>Exportações: anual (ano civil).</t>
  </si>
  <si>
    <t>PIB: dados das contas nacionais harmonizados pela OCDE e pelo Banco Mundial.</t>
  </si>
  <si>
    <t>Exportações: dados das contas nacionais harmonizados pela OCDE e pelo Banco Mundial.</t>
  </si>
  <si>
    <t>Remessas: Banco Mundial, World DataBank.
Disponível em: World Development Indicators, series, economic policy &amp; debt. Endereço da consulta: http://databank.worldbank.org/data/views/variableSelection/selectvariables.aspx?source=world-development-indicators#s_e</t>
  </si>
  <si>
    <t>(dólares, percentagem)</t>
  </si>
  <si>
    <t>(euros, milhares, preços correntes)</t>
  </si>
  <si>
    <t>(euros, preços correntes, percentagem)</t>
  </si>
  <si>
    <t>Remessas em %</t>
  </si>
  <si>
    <t>do PIB</t>
  </si>
  <si>
    <t>das exportações</t>
  </si>
  <si>
    <t>Créditos
(recebidas)</t>
  </si>
  <si>
    <t>Débitos
(enviadas)</t>
  </si>
  <si>
    <t>As remessas de emigrantes oriundas destes dez países representavam, em 2013, 93% do valor total das remessas recebidas em Portugal.</t>
  </si>
  <si>
    <r>
      <t xml:space="preserve">[índice </t>
    </r>
    <r>
      <rPr>
        <b/>
        <sz val="8"/>
        <color indexed="60"/>
        <rFont val="Wingdings 3"/>
        <family val="1"/>
        <charset val="2"/>
      </rPr>
      <t>Ç</t>
    </r>
    <r>
      <rPr>
        <b/>
        <sz val="8"/>
        <color indexed="60"/>
        <rFont val="Arial"/>
        <family val="2"/>
      </rPr>
      <t>]</t>
    </r>
  </si>
  <si>
    <t>Iraque</t>
  </si>
  <si>
    <t>.</t>
  </si>
  <si>
    <t>Exportações: recenseamento administrativo a cargo do Instituto Nacional de Estatística.</t>
  </si>
  <si>
    <t>Posição</t>
  </si>
  <si>
    <t>As remessas de emigrantes recebidas nestes 30 países representam 80% do valor total das remessas mundiais.</t>
  </si>
  <si>
    <t>(percentagem)</t>
  </si>
  <si>
    <r>
      <rPr>
        <b/>
        <sz val="9"/>
        <color indexed="60"/>
        <rFont val="Arial"/>
        <family val="2"/>
      </rPr>
      <t>Quadro 2</t>
    </r>
    <r>
      <rPr>
        <b/>
        <sz val="9"/>
        <color indexed="8"/>
        <rFont val="Arial"/>
        <family val="2"/>
      </rPr>
      <t xml:space="preserve">  Remessas recebidas em Portugal por país de origem das transferências, 2013 (quadro ordenado pelos valores da transferência)</t>
    </r>
  </si>
  <si>
    <r>
      <rPr>
        <b/>
        <sz val="9"/>
        <color indexed="60"/>
        <rFont val="Arial"/>
        <family val="2"/>
      </rPr>
      <t>Quadro 3</t>
    </r>
    <r>
      <rPr>
        <b/>
        <sz val="9"/>
        <color indexed="8"/>
        <rFont val="Arial"/>
        <family val="2"/>
      </rPr>
      <t xml:space="preserve">  Remessas enviadas de Portugal por país de destino das transferências, 2013 (quadro ordenado pelos valores da transferência)</t>
    </r>
  </si>
  <si>
    <r>
      <rPr>
        <b/>
        <sz val="9"/>
        <color indexed="60"/>
        <rFont val="Arial"/>
        <family val="2"/>
      </rPr>
      <t>Quadro 4</t>
    </r>
    <r>
      <rPr>
        <b/>
        <sz val="9"/>
        <color indexed="8"/>
        <rFont val="Arial"/>
        <family val="2"/>
      </rPr>
      <t xml:space="preserve">  Relação entre remessas recebidas em Portugal e enviadas de Portugal, principais países, 2013</t>
    </r>
  </si>
  <si>
    <t>PIB: Banco Mundial, World DataBank.
Disponível em: World Development Indicators, series, economic policy &amp; debt. Endereço da consulta: http://databank.worldbank.org/data/views/variableSelection/selectvariables.aspx?source=world-development-indicators#s_e</t>
  </si>
  <si>
    <t>Exportações: Banco Mundial, World DataBank.
Disponível em: World Development Indicators, series, economic policy &amp; debt. Endereço da consulta: http://databank.worldbank.org/data/views/variableSelection/selectvariables.aspx?source=world-development-indicators#s_e</t>
  </si>
  <si>
    <r>
      <rPr>
        <b/>
        <sz val="9"/>
        <color indexed="60"/>
        <rFont val="Arial"/>
        <family val="2"/>
      </rPr>
      <t xml:space="preserve">Quadro 1 </t>
    </r>
    <r>
      <rPr>
        <b/>
        <sz val="9"/>
        <color indexed="8"/>
        <rFont val="Arial"/>
        <family val="2"/>
      </rPr>
      <t xml:space="preserve"> Remessas recebidas em Portugal e enviadas de Portugal, por países de destino e origem das transferências, 2013</t>
    </r>
  </si>
  <si>
    <t>Atualizado em</t>
  </si>
  <si>
    <t>República da Coreia</t>
  </si>
  <si>
    <t>Egito</t>
  </si>
  <si>
    <r>
      <rPr>
        <b/>
        <sz val="9"/>
        <color indexed="60"/>
        <rFont val="Arial"/>
        <family val="2"/>
      </rPr>
      <t>Quadro 5</t>
    </r>
    <r>
      <rPr>
        <b/>
        <sz val="9"/>
        <color indexed="8"/>
        <rFont val="Arial"/>
        <family val="2"/>
      </rPr>
      <t xml:space="preserve">  Comparação entre a evolução das remessas recebidas em Portugal e a evolução do PIB, das exportações e do investimento direto estrangeiro, 1996-2013</t>
    </r>
  </si>
  <si>
    <t>Investimento 
direto 
estrangeiro</t>
  </si>
  <si>
    <t>do investimento 
direto 
estrangeiro</t>
  </si>
  <si>
    <r>
      <rPr>
        <b/>
        <sz val="9"/>
        <color indexed="60"/>
        <rFont val="Arial"/>
        <family val="2"/>
      </rPr>
      <t>Quadro 6</t>
    </r>
    <r>
      <rPr>
        <b/>
        <sz val="9"/>
        <color indexed="8"/>
        <rFont val="Arial"/>
        <family val="2"/>
      </rPr>
      <t xml:space="preserve">  Evolução das remessas recebidas em Portugal por países de origem das transferências, 2001-2013</t>
    </r>
  </si>
  <si>
    <r>
      <rPr>
        <b/>
        <sz val="9"/>
        <color indexed="60"/>
        <rFont val="Arial"/>
        <family val="2"/>
      </rPr>
      <t>Quadro 7</t>
    </r>
    <r>
      <rPr>
        <b/>
        <sz val="9"/>
        <color indexed="8"/>
        <rFont val="Arial"/>
        <family val="2"/>
      </rPr>
      <t xml:space="preserve">  Evolução das remessas recebidas em Portugal por principais países de origem das transferências, 2001-2013 (evolução em termos absolutos e relativos, 2002=100)</t>
    </r>
  </si>
  <si>
    <r>
      <rPr>
        <b/>
        <sz val="9"/>
        <color indexed="60"/>
        <rFont val="Arial"/>
        <family val="2"/>
      </rPr>
      <t>Quadro 8</t>
    </r>
    <r>
      <rPr>
        <b/>
        <sz val="9"/>
        <color indexed="8"/>
        <rFont val="Arial"/>
        <family val="2"/>
      </rPr>
      <t xml:space="preserve">  Remessas de emigrantes por países de destino das transferências, 2012 (em valor e em percentagem do PIB, das exportações e do investimento direto estrangeiro)</t>
    </r>
  </si>
  <si>
    <t>% do investimento direto estrangeiro</t>
  </si>
  <si>
    <t>América Samoa</t>
  </si>
  <si>
    <t>Antígua e Barbuda</t>
  </si>
  <si>
    <t>Benim</t>
  </si>
  <si>
    <t>Camboja</t>
  </si>
  <si>
    <t>Cazaquistão</t>
  </si>
  <si>
    <t>Costa do Marfim</t>
  </si>
  <si>
    <t>Emirados Árabes Unidos</t>
  </si>
  <si>
    <t>Geórgia</t>
  </si>
  <si>
    <t>Ilhas Faroé</t>
  </si>
  <si>
    <t>Macau SAR, China</t>
  </si>
  <si>
    <t>Níger</t>
  </si>
  <si>
    <t>São Cristóvão e Nevis</t>
  </si>
  <si>
    <t>São Vicente e Granadinas</t>
  </si>
  <si>
    <t>Trinidad e Tobago</t>
  </si>
  <si>
    <r>
      <rPr>
        <b/>
        <sz val="9"/>
        <color indexed="60"/>
        <rFont val="Arial"/>
        <family val="2"/>
      </rPr>
      <t>Quadro 9</t>
    </r>
    <r>
      <rPr>
        <b/>
        <sz val="9"/>
        <color indexed="8"/>
        <rFont val="Arial"/>
        <family val="2"/>
      </rPr>
      <t xml:space="preserve">  Remessas de emigrantes, principais países de destino das transferências, 2012 (quadros ordenados por valor e por percentagem do PIB, das exportações e do investimento direto estrangeiro)</t>
    </r>
  </si>
  <si>
    <t>Remessas em % do investimento direto estrangeiro</t>
  </si>
  <si>
    <t>PIB (séries nacionais): produto interno bruto a preços de mercado; representa o resultado final da atividade de produção das unidades produtivas residentes; valores em preços correntes (euros).</t>
  </si>
  <si>
    <t>Exportações (séries nacionais): exportações de bens e serviços; representa as transações de bens e serviços, por venda, troca direta ou oferta, de residentes para não residentes; valores em preços correntes (euros).</t>
  </si>
  <si>
    <t>Investimento direto estrangeiro: (séries nacionais): operações realizadas entre investidores diretos não residentes e empresas residentes objecto de investimento; valores em preços correntes (euros).</t>
  </si>
  <si>
    <t>Investimento direto estrangeiro (séries internacionais): entradas líquidas de investimento (novos investimentos menos desinvestimentos) para adquirir uma participação de gestão duradoura (10 por cento ou mais do capital votante) numa empresa que opera numa economia diferente da do investidor, preços correntes (US$).</t>
  </si>
  <si>
    <t>Investimento direto estrangeiro:  recenseamento administrativo a cargo do Banco de Portugal.</t>
  </si>
  <si>
    <t>Investimento direto estrangeiro: dados das contas nacionais harmonizados pela OCDE e pelo Banco Mundial.</t>
  </si>
  <si>
    <t>Investimento direto estrangeiro: anual (ano civil).</t>
  </si>
  <si>
    <t>PIB: Instituto Nacional de Estatística, Contas Nacionais.
Disponível em: Contas Nacionais - SEC2010, base 2011, A.1.1 Produto Interno Bruto, Produto interno bruto a preços de mercado (preços correntes; anual). Endereço da consulta: http://www.ine.pt/xportal/xmain?xpid=INE&amp;xpgid=cn_quadros&amp;boui=220636512</t>
  </si>
  <si>
    <t>Investimento direto estrangeiro: Banco Mundial, World DataBank.
Disponível em: World Development Indicators, series, economic policy &amp; debt. Endereço da consulta: http://databank.worldbank.org/data/views/variableSelection/selectvariables.aspx?source=world-development-indicators#s_e</t>
  </si>
  <si>
    <t>Exportações: Instituto Nacional de Estatística, Contas Nacionais.
Disponível em: Contas Nacionais - SEC2010, base 2011, A.1.2.4 Importação e Exportação de Bens e Serviços, Importação e exportação de bens e serviços (P.7/P.6) (preços correntes; anual). Endereço da consulta: 
http://www.ine.pt/xportal/xmain?xpid=INE&amp;xpgid=cn_quadros&amp;boui=220637770</t>
  </si>
  <si>
    <t>Investimento direto estrangeiro: Banco de Portugal, Estatísticas de Balança de Pagamentos (BOP).
Disponível em: Estatísticas Online (BPstat), quadros predefinidos, estatísticas de balança financeira, investimento direto do exterior em Portugal. Endereço da consulta: 
http://www.bportugal.pt/PAS/sem/src/(S(vudjnjuikkahjl45dyeo3tfg))/Analise.aspx?book=%7bB4FA82F9-0F51-44DE-A057-AE2A658F5837%7d&amp;Page=%7bB881A36D-B665-43CD-B7F4-E417F4F627BE%7d</t>
  </si>
  <si>
    <t>%</t>
  </si>
  <si>
    <t>Créditos (recebidas)</t>
  </si>
  <si>
    <t>Débitos (enviadas)</t>
  </si>
  <si>
    <t>Remessas: Banco de Portugal, Estatísticas de Balança de Pagamentos (BOP).
Disponível em: Estatísticas Online (BPstat), quadros predefinidos, estatísticas de balança de pagamentos, remessas de emigrantes/imigrantes. Endereço da consulta:  http://www.bportugal.pt/PAS/sem/src/(S(ctqp3g55qbcdsdzmugqh3x55))/Analise.aspx?book=%7bB3C6393E-39EF-40E8-A42E-3AED50667DC0%7d&amp;Page=%7bCEE5BCD4-77E7-4A83-91B5-6C93BE0E0F43%7d</t>
  </si>
  <si>
    <t>Setembro de 2014</t>
  </si>
  <si>
    <t>Metainformação</t>
  </si>
  <si>
    <t>O Observatório da Emigração integra o Centro de Investigação e Estudos de Sociologia (CIES-IUL) do ISCTE, Instituto Universitário de Lisboa (ISCTE-IUL).</t>
  </si>
  <si>
    <t>Quadro elaborado pelo Observatório da Emigração, valores do Banco de Portugal.</t>
  </si>
  <si>
    <t>Quadro elaborado pelo Observatório da Emigração, valores do Banco de Portugal (remessas e investimento direto estrangeiro) e do Instituto Nacional de Estatística (PIB e exportações).</t>
  </si>
  <si>
    <t>Os valores do investimento direto estrangeiro foram alterados pelo Banco de Portugal. Para ser possível comparar os valores do IDE em Portugal com os internacionais o OEm optou por continuar a utilizar a série antiga.</t>
  </si>
  <si>
    <t>Quadro elaborado pelo Observatório da Emigração, valores do Banco Mundial.</t>
  </si>
  <si>
    <t>http://www.observatorioemigracao.pt/np4/4006.html</t>
  </si>
  <si>
    <t>Gráfico 1  Remessas recebidas em Portugal, principais países de origem das transferências, 2013</t>
  </si>
  <si>
    <t>Gráfico 2  Remessas enviadas de Portugal, principais países de destino das transferências, 2013</t>
  </si>
  <si>
    <t>Gráfico 3  Saldos das remessas recebidas em Portugal e enviadas de Portugal, principais países, 2013</t>
  </si>
  <si>
    <t>Gráfico 4  Evolução das remessas recebidas em Portugal, em milhares de euros e em percentagem do PIB, das exportações e do investimento direto estrangeiro, 1996-2013</t>
  </si>
  <si>
    <t>Gráfico 5  Evolução das remessas recebidas em Portugal, principais países de origem das transferências, 2002-2013</t>
  </si>
  <si>
    <t>Gráfico 6  Remessas de emigrantes, principais países de destino das transferências, 2012</t>
  </si>
  <si>
    <t>Gráfico 7  Remessas de emigrantes em percentagem do PIB, principais países de destino das transferências, 2012</t>
  </si>
  <si>
    <t>Gráfico 8  Remessas de emigrantes em percentagem das exportações, principais países de destino das transferências, 2012</t>
  </si>
  <si>
    <t>Gráfico 9  Remessas de emigrantes em percentagem do investimento direto estrangeiro, principais países de destino das transferências, 2012</t>
  </si>
  <si>
    <t>Remessas 2013: índice de quadros e gráficos</t>
  </si>
  <si>
    <t>Gráfico elaborado pelo Observatório da Emigração, valores do Banco de Portugal.</t>
  </si>
  <si>
    <t>Gráfico elaborado pelo Observatório da Emigração, valores do Banco de Portugal (remessas e investimento direto estrangeiro) e do Instituto Nacional de Estatística (PIB e exportações).</t>
  </si>
  <si>
    <t>Gráfico elaborado pelo Observatório da Emigração, valores do Banco Mundial.</t>
  </si>
  <si>
    <t>http://observatorioemigracao.pt/np4/4006.html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</si>
</sst>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6" x14ac:knownFonts="1">
    <font>
      <sz val="11"/>
      <color theme="1"/>
      <name val="Calibri"/>
      <family val="2"/>
      <scheme val="minor"/>
    </font>
    <font>
      <sz val="8"/>
      <color theme="1"/>
      <name val="Arial"/>
      <family val="2"/>
    </font>
    <font>
      <sz val="8"/>
      <color theme="1"/>
      <name val="Arial"/>
      <family val="2"/>
    </font>
    <font>
      <sz val="8"/>
      <color theme="1"/>
      <name val="Arial"/>
      <family val="2"/>
    </font>
    <font>
      <b/>
      <sz val="8"/>
      <name val="Arial"/>
      <family val="2"/>
    </font>
    <font>
      <sz val="8"/>
      <name val="Arial"/>
      <family val="2"/>
    </font>
    <font>
      <b/>
      <sz val="9"/>
      <color indexed="8"/>
      <name val="Arial"/>
      <family val="2"/>
    </font>
    <font>
      <b/>
      <sz val="8"/>
      <color indexed="60"/>
      <name val="Arial"/>
      <family val="2"/>
    </font>
    <font>
      <b/>
      <sz val="9"/>
      <color indexed="60"/>
      <name val="Arial"/>
      <family val="2"/>
    </font>
    <font>
      <b/>
      <sz val="8"/>
      <color indexed="60"/>
      <name val="Wingdings 3"/>
      <family val="1"/>
      <charset val="2"/>
    </font>
    <font>
      <sz val="11"/>
      <name val="Arial"/>
      <family val="2"/>
    </font>
    <font>
      <sz val="11"/>
      <color theme="1"/>
      <name val="Calibri"/>
      <family val="2"/>
      <scheme val="minor"/>
    </font>
    <font>
      <sz val="8"/>
      <color theme="1"/>
      <name val="Arial"/>
      <family val="2"/>
    </font>
    <font>
      <sz val="11"/>
      <color theme="1"/>
      <name val="Arial"/>
      <family val="2"/>
    </font>
    <font>
      <b/>
      <sz val="8"/>
      <color theme="1"/>
      <name val="Arial"/>
      <family val="2"/>
    </font>
    <font>
      <sz val="10"/>
      <color theme="1"/>
      <name val="Calibri"/>
      <family val="2"/>
      <scheme val="minor"/>
    </font>
    <font>
      <i/>
      <sz val="8"/>
      <color theme="1"/>
      <name val="Arial"/>
      <family val="2"/>
    </font>
    <font>
      <b/>
      <sz val="12"/>
      <color rgb="FFC00000"/>
      <name val="Arial"/>
      <family val="2"/>
    </font>
    <font>
      <sz val="8"/>
      <color rgb="FF000000"/>
      <name val="Arial"/>
      <family val="2"/>
    </font>
    <font>
      <sz val="11"/>
      <name val="Calibri"/>
      <family val="2"/>
      <scheme val="minor"/>
    </font>
    <font>
      <sz val="9"/>
      <color theme="1"/>
      <name val="Arial"/>
      <family val="2"/>
    </font>
    <font>
      <b/>
      <sz val="8"/>
      <color rgb="FFC00000"/>
      <name val="Arial"/>
      <family val="2"/>
    </font>
    <font>
      <b/>
      <sz val="9"/>
      <color theme="1"/>
      <name val="Arial"/>
      <family val="2"/>
    </font>
    <font>
      <sz val="9"/>
      <color theme="1"/>
      <name val="Calibri"/>
      <family val="2"/>
      <scheme val="minor"/>
    </font>
    <font>
      <sz val="11"/>
      <color rgb="FFC00000"/>
      <name val="Calibri"/>
      <family val="2"/>
      <scheme val="minor"/>
    </font>
    <font>
      <i/>
      <sz val="8"/>
      <color rgb="FFC00000"/>
      <name val="Arial"/>
      <family val="2"/>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s>
  <borders count="32">
    <border>
      <left/>
      <right/>
      <top/>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xf numFmtId="0" fontId="11" fillId="0" borderId="0"/>
    <xf numFmtId="0" fontId="5" fillId="0" borderId="0" applyNumberFormat="0" applyFill="0" applyBorder="0" applyAlignment="0" applyProtection="0"/>
  </cellStyleXfs>
  <cellXfs count="499">
    <xf numFmtId="0" fontId="0" fillId="0" borderId="0" xfId="0"/>
    <xf numFmtId="3" fontId="12" fillId="0" borderId="0" xfId="0" applyNumberFormat="1" applyFont="1" applyAlignment="1">
      <alignment vertical="center"/>
    </xf>
    <xf numFmtId="0" fontId="0" fillId="0" borderId="0" xfId="0" applyAlignment="1">
      <alignment horizontal="left" vertical="center" indent="1"/>
    </xf>
    <xf numFmtId="3" fontId="12" fillId="0" borderId="0" xfId="0" applyNumberFormat="1" applyFont="1" applyAlignment="1">
      <alignment horizontal="left" vertical="center" indent="1"/>
    </xf>
    <xf numFmtId="3" fontId="5" fillId="3" borderId="0" xfId="0" applyNumberFormat="1" applyFont="1" applyFill="1" applyBorder="1" applyAlignment="1">
      <alignment horizontal="left" vertical="center" indent="1"/>
    </xf>
    <xf numFmtId="3" fontId="5" fillId="0" borderId="0" xfId="0" applyNumberFormat="1" applyFont="1" applyBorder="1" applyAlignment="1">
      <alignment horizontal="left" vertical="center" indent="1"/>
    </xf>
    <xf numFmtId="3" fontId="5" fillId="0" borderId="0" xfId="0" applyNumberFormat="1" applyFont="1" applyBorder="1" applyAlignment="1">
      <alignment horizontal="right" vertical="center" indent="1"/>
    </xf>
    <xf numFmtId="3" fontId="5" fillId="4" borderId="0" xfId="0" applyNumberFormat="1" applyFont="1" applyFill="1" applyBorder="1" applyAlignment="1">
      <alignment horizontal="lef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indent="1"/>
    </xf>
    <xf numFmtId="0" fontId="0" fillId="0" borderId="0" xfId="0" applyAlignment="1">
      <alignment horizontal="left" vertical="center" indent="1"/>
    </xf>
    <xf numFmtId="3" fontId="12" fillId="0" borderId="0" xfId="0" applyNumberFormat="1" applyFont="1" applyAlignment="1">
      <alignment horizontal="left" vertical="center" indent="1"/>
    </xf>
    <xf numFmtId="0" fontId="0" fillId="0" borderId="0" xfId="0" applyAlignment="1">
      <alignment horizontal="left" indent="1"/>
    </xf>
    <xf numFmtId="3" fontId="12" fillId="0" borderId="0" xfId="0" applyNumberFormat="1" applyFont="1" applyBorder="1" applyAlignment="1">
      <alignment vertical="center"/>
    </xf>
    <xf numFmtId="0" fontId="13" fillId="0" borderId="0" xfId="0" applyFont="1" applyBorder="1" applyAlignment="1">
      <alignment horizontal="left" vertical="center" indent="1"/>
    </xf>
    <xf numFmtId="3"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3" fontId="5" fillId="0" borderId="0" xfId="0" applyNumberFormat="1" applyFont="1" applyFill="1" applyBorder="1" applyAlignment="1">
      <alignment horizontal="left" vertical="center" indent="1"/>
    </xf>
    <xf numFmtId="3" fontId="4" fillId="0" borderId="1" xfId="0" applyNumberFormat="1" applyFont="1" applyBorder="1" applyAlignment="1">
      <alignment horizontal="left" vertical="center" wrapText="1" indent="1"/>
    </xf>
    <xf numFmtId="3" fontId="5" fillId="3" borderId="0" xfId="0" applyNumberFormat="1" applyFont="1" applyFill="1" applyBorder="1" applyAlignment="1">
      <alignment horizontal="right" vertical="center" indent="4"/>
    </xf>
    <xf numFmtId="3" fontId="5" fillId="0" borderId="0" xfId="0" applyNumberFormat="1" applyFont="1" applyBorder="1" applyAlignment="1">
      <alignment horizontal="right" vertical="center" indent="4"/>
    </xf>
    <xf numFmtId="3" fontId="5" fillId="4" borderId="0" xfId="0" applyNumberFormat="1" applyFont="1" applyFill="1" applyBorder="1" applyAlignment="1">
      <alignment horizontal="right" vertical="center" indent="4"/>
    </xf>
    <xf numFmtId="3" fontId="5" fillId="0" borderId="0" xfId="0" applyNumberFormat="1" applyFont="1" applyFill="1" applyBorder="1" applyAlignment="1">
      <alignment horizontal="right" vertical="center" indent="4"/>
    </xf>
    <xf numFmtId="3" fontId="4" fillId="0" borderId="0" xfId="0" applyNumberFormat="1" applyFont="1" applyBorder="1" applyAlignment="1">
      <alignment horizontal="left" vertical="center" indent="1"/>
    </xf>
    <xf numFmtId="3" fontId="4" fillId="0" borderId="0" xfId="0" applyNumberFormat="1" applyFont="1" applyBorder="1" applyAlignment="1">
      <alignment horizontal="right" vertical="center" indent="4"/>
    </xf>
    <xf numFmtId="164" fontId="5" fillId="3" borderId="0" xfId="0" applyNumberFormat="1" applyFont="1" applyFill="1" applyBorder="1" applyAlignment="1">
      <alignment horizontal="right" vertical="center" indent="4"/>
    </xf>
    <xf numFmtId="164" fontId="5" fillId="0" borderId="0" xfId="0" applyNumberFormat="1" applyFont="1" applyBorder="1" applyAlignment="1">
      <alignment horizontal="right" vertical="center" indent="4"/>
    </xf>
    <xf numFmtId="164" fontId="5" fillId="4" borderId="0" xfId="0" applyNumberFormat="1" applyFont="1" applyFill="1" applyBorder="1" applyAlignment="1">
      <alignment horizontal="right" vertical="center" indent="4"/>
    </xf>
    <xf numFmtId="164" fontId="5" fillId="0" borderId="0" xfId="0" applyNumberFormat="1" applyFont="1" applyFill="1" applyBorder="1" applyAlignment="1">
      <alignment horizontal="right" vertical="center" indent="4"/>
    </xf>
    <xf numFmtId="3" fontId="14" fillId="0" borderId="0" xfId="0" applyNumberFormat="1" applyFont="1" applyAlignment="1">
      <alignment horizontal="left" indent="1"/>
    </xf>
    <xf numFmtId="0" fontId="15" fillId="0" borderId="0" xfId="0" applyFont="1" applyAlignment="1">
      <alignment horizontal="left" indent="1"/>
    </xf>
    <xf numFmtId="3" fontId="12" fillId="0" borderId="0" xfId="0" applyNumberFormat="1" applyFont="1" applyAlignment="1">
      <alignment horizontal="left" indent="1"/>
    </xf>
    <xf numFmtId="0" fontId="0" fillId="0" borderId="0" xfId="0" applyAlignment="1">
      <alignment horizontal="left" wrapText="1" indent="1"/>
    </xf>
    <xf numFmtId="14" fontId="12" fillId="0" borderId="0" xfId="0" applyNumberFormat="1" applyFont="1" applyBorder="1" applyAlignment="1">
      <alignment horizontal="left" vertical="center"/>
    </xf>
    <xf numFmtId="0" fontId="13"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Alignment="1">
      <alignment horizontal="left" wrapText="1" indent="1"/>
    </xf>
    <xf numFmtId="3" fontId="12" fillId="0" borderId="0" xfId="0" applyNumberFormat="1" applyFont="1" applyAlignment="1">
      <alignment horizontal="left" vertical="center"/>
    </xf>
    <xf numFmtId="0" fontId="12" fillId="0" borderId="0" xfId="0" applyFont="1" applyAlignment="1">
      <alignment horizontal="left" vertical="center"/>
    </xf>
    <xf numFmtId="0" fontId="0" fillId="0" borderId="0" xfId="0" applyAlignment="1">
      <alignment horizontal="left" indent="1"/>
    </xf>
    <xf numFmtId="14" fontId="12"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4" fillId="0" borderId="0" xfId="0" applyNumberFormat="1" applyFont="1" applyFill="1" applyBorder="1" applyAlignment="1">
      <alignment horizontal="left" vertical="center" indent="1"/>
    </xf>
    <xf numFmtId="3" fontId="4" fillId="0" borderId="0" xfId="0" applyNumberFormat="1" applyFont="1" applyFill="1" applyBorder="1" applyAlignment="1">
      <alignment horizontal="right" vertical="center" indent="4"/>
    </xf>
    <xf numFmtId="3" fontId="12" fillId="0" borderId="0" xfId="0" applyNumberFormat="1" applyFont="1" applyAlignment="1"/>
    <xf numFmtId="3" fontId="4" fillId="0" borderId="0" xfId="0" applyNumberFormat="1" applyFont="1" applyFill="1" applyBorder="1" applyAlignment="1">
      <alignment horizontal="left" indent="1"/>
    </xf>
    <xf numFmtId="3" fontId="4" fillId="0" borderId="0" xfId="0" applyNumberFormat="1" applyFont="1" applyFill="1" applyBorder="1" applyAlignment="1">
      <alignment horizontal="right" indent="4"/>
    </xf>
    <xf numFmtId="164" fontId="4" fillId="0" borderId="0" xfId="0" applyNumberFormat="1" applyFont="1" applyBorder="1" applyAlignment="1">
      <alignment horizontal="right" vertical="center" indent="4"/>
    </xf>
    <xf numFmtId="3" fontId="4" fillId="0" borderId="2" xfId="0" applyNumberFormat="1" applyFont="1" applyFill="1" applyBorder="1" applyAlignment="1">
      <alignment horizontal="left" vertical="top" indent="1"/>
    </xf>
    <xf numFmtId="3" fontId="4" fillId="0" borderId="2" xfId="0" applyNumberFormat="1" applyFont="1" applyFill="1" applyBorder="1" applyAlignment="1">
      <alignment horizontal="right" vertical="top" indent="4"/>
    </xf>
    <xf numFmtId="164" fontId="4" fillId="0" borderId="2" xfId="0" applyNumberFormat="1" applyFont="1" applyBorder="1" applyAlignment="1">
      <alignment horizontal="right" vertical="top" indent="4"/>
    </xf>
    <xf numFmtId="164" fontId="4" fillId="0" borderId="0" xfId="0" applyNumberFormat="1" applyFont="1" applyBorder="1" applyAlignment="1">
      <alignment horizontal="right" indent="4"/>
    </xf>
    <xf numFmtId="3" fontId="4" fillId="0" borderId="0" xfId="0" applyNumberFormat="1" applyFont="1" applyBorder="1" applyAlignment="1">
      <alignment horizontal="right" vertical="center" indent="5"/>
    </xf>
    <xf numFmtId="3" fontId="5" fillId="3" borderId="0" xfId="0" applyNumberFormat="1" applyFont="1" applyFill="1" applyBorder="1" applyAlignment="1">
      <alignment horizontal="right" vertical="center" indent="5"/>
    </xf>
    <xf numFmtId="3" fontId="5" fillId="0" borderId="0" xfId="0" applyNumberFormat="1" applyFont="1" applyBorder="1" applyAlignment="1">
      <alignment horizontal="right" vertical="center" indent="5"/>
    </xf>
    <xf numFmtId="3" fontId="5" fillId="4" borderId="0" xfId="0" applyNumberFormat="1" applyFont="1" applyFill="1" applyBorder="1" applyAlignment="1">
      <alignment horizontal="right" vertical="center" indent="5"/>
    </xf>
    <xf numFmtId="3" fontId="4" fillId="0" borderId="0" xfId="0" applyNumberFormat="1" applyFont="1" applyFill="1" applyBorder="1" applyAlignment="1">
      <alignment horizontal="right" indent="5"/>
    </xf>
    <xf numFmtId="3" fontId="4" fillId="0" borderId="0" xfId="0" applyNumberFormat="1" applyFont="1" applyFill="1" applyBorder="1" applyAlignment="1">
      <alignment horizontal="right" vertical="center" indent="5"/>
    </xf>
    <xf numFmtId="3" fontId="4" fillId="0" borderId="2" xfId="0" applyNumberFormat="1" applyFont="1" applyFill="1" applyBorder="1" applyAlignment="1">
      <alignment horizontal="right" vertical="top" indent="5"/>
    </xf>
    <xf numFmtId="0" fontId="4" fillId="0" borderId="0" xfId="0" applyFont="1" applyBorder="1" applyAlignment="1">
      <alignment horizontal="center" wrapText="1"/>
    </xf>
    <xf numFmtId="3" fontId="4" fillId="0" borderId="0" xfId="0" applyNumberFormat="1" applyFont="1" applyBorder="1" applyAlignment="1">
      <alignment horizontal="center"/>
    </xf>
    <xf numFmtId="3" fontId="14" fillId="0" borderId="0" xfId="0" applyNumberFormat="1" applyFont="1" applyBorder="1" applyAlignment="1">
      <alignment horizontal="right" vertical="center"/>
    </xf>
    <xf numFmtId="3" fontId="14" fillId="0" borderId="0" xfId="0" applyNumberFormat="1" applyFont="1" applyAlignment="1">
      <alignment horizontal="right" vertical="center"/>
    </xf>
    <xf numFmtId="3" fontId="12" fillId="0" borderId="0" xfId="0" applyNumberFormat="1" applyFont="1" applyAlignment="1">
      <alignment horizontal="right" vertical="center"/>
    </xf>
    <xf numFmtId="3" fontId="16" fillId="0" borderId="0" xfId="0" applyNumberFormat="1" applyFont="1" applyAlignment="1">
      <alignment horizontal="right" vertical="center"/>
    </xf>
    <xf numFmtId="3" fontId="4" fillId="0" borderId="0" xfId="0" applyNumberFormat="1" applyFont="1" applyBorder="1" applyAlignment="1">
      <alignment horizontal="right" vertical="top" indent="1"/>
    </xf>
    <xf numFmtId="0" fontId="0" fillId="0" borderId="0" xfId="0" applyAlignment="1">
      <alignment horizontal="left" vertical="center" indent="1"/>
    </xf>
    <xf numFmtId="0" fontId="12" fillId="0" borderId="0" xfId="0" applyFont="1" applyAlignment="1">
      <alignment horizontal="left" vertical="center" indent="1"/>
    </xf>
    <xf numFmtId="0" fontId="14" fillId="0" borderId="0" xfId="0" applyFont="1" applyAlignment="1">
      <alignment horizontal="right" vertical="top" indent="1"/>
    </xf>
    <xf numFmtId="3" fontId="5" fillId="3" borderId="0" xfId="0" applyNumberFormat="1" applyFont="1" applyFill="1" applyBorder="1" applyAlignment="1" applyProtection="1">
      <alignment horizontal="left" vertical="center" indent="1"/>
      <protection locked="0"/>
    </xf>
    <xf numFmtId="3" fontId="5" fillId="3" borderId="0" xfId="0" applyNumberFormat="1" applyFont="1" applyFill="1" applyBorder="1" applyAlignment="1" applyProtection="1">
      <alignment horizontal="right" vertical="center" indent="1"/>
      <protection locked="0"/>
    </xf>
    <xf numFmtId="3" fontId="5" fillId="4" borderId="0" xfId="0" applyNumberFormat="1" applyFont="1" applyFill="1" applyBorder="1" applyAlignment="1" applyProtection="1">
      <alignment horizontal="left" vertical="center" indent="1"/>
      <protection locked="0"/>
    </xf>
    <xf numFmtId="3" fontId="5" fillId="4" borderId="0" xfId="0" applyNumberFormat="1" applyFont="1" applyFill="1" applyBorder="1" applyAlignment="1" applyProtection="1">
      <alignment horizontal="right" vertical="center" indent="1"/>
      <protection locked="0"/>
    </xf>
    <xf numFmtId="0" fontId="13" fillId="4" borderId="0" xfId="0" applyFont="1" applyFill="1" applyBorder="1" applyAlignment="1">
      <alignment horizontal="left" vertical="center" indent="1"/>
    </xf>
    <xf numFmtId="0" fontId="0" fillId="4" borderId="0" xfId="0" applyFill="1"/>
    <xf numFmtId="3" fontId="12" fillId="4" borderId="0" xfId="0" applyNumberFormat="1" applyFont="1" applyFill="1" applyAlignment="1">
      <alignment vertical="center"/>
    </xf>
    <xf numFmtId="3" fontId="4" fillId="4" borderId="1" xfId="0" applyNumberFormat="1" applyFont="1" applyFill="1" applyBorder="1" applyAlignment="1" applyProtection="1">
      <alignment horizontal="left" vertical="center" wrapText="1" indent="1"/>
      <protection locked="0"/>
    </xf>
    <xf numFmtId="1" fontId="4" fillId="4" borderId="1" xfId="0" applyNumberFormat="1" applyFont="1" applyFill="1" applyBorder="1" applyAlignment="1" applyProtection="1">
      <alignment horizontal="right" vertical="center" wrapText="1" indent="1"/>
      <protection locked="0"/>
    </xf>
    <xf numFmtId="3" fontId="4" fillId="4" borderId="0" xfId="0" applyNumberFormat="1" applyFont="1" applyFill="1" applyBorder="1" applyAlignment="1" applyProtection="1">
      <alignment horizontal="left" vertical="center" indent="1"/>
      <protection locked="0"/>
    </xf>
    <xf numFmtId="3" fontId="4" fillId="4" borderId="0" xfId="0" applyNumberFormat="1" applyFont="1" applyFill="1" applyBorder="1" applyAlignment="1" applyProtection="1">
      <alignment horizontal="right" vertical="center" indent="1"/>
      <protection locked="0"/>
    </xf>
    <xf numFmtId="3" fontId="12" fillId="4" borderId="0" xfId="0" applyNumberFormat="1" applyFont="1" applyFill="1" applyAlignment="1"/>
    <xf numFmtId="3" fontId="4" fillId="4" borderId="0" xfId="0" applyNumberFormat="1" applyFont="1" applyFill="1" applyBorder="1" applyAlignment="1" applyProtection="1">
      <alignment horizontal="left" indent="1"/>
      <protection locked="0"/>
    </xf>
    <xf numFmtId="3" fontId="4" fillId="4" borderId="0" xfId="0" applyNumberFormat="1" applyFont="1" applyFill="1" applyBorder="1" applyAlignment="1" applyProtection="1">
      <alignment horizontal="right" indent="1"/>
      <protection locked="0"/>
    </xf>
    <xf numFmtId="3" fontId="4" fillId="4" borderId="2" xfId="0" applyNumberFormat="1" applyFont="1" applyFill="1" applyBorder="1" applyAlignment="1" applyProtection="1">
      <alignment horizontal="left" vertical="top" indent="1"/>
      <protection locked="0"/>
    </xf>
    <xf numFmtId="3" fontId="4" fillId="4" borderId="2" xfId="0" applyNumberFormat="1" applyFont="1" applyFill="1" applyBorder="1" applyAlignment="1" applyProtection="1">
      <alignment horizontal="right" vertical="top" indent="1"/>
      <protection locked="0"/>
    </xf>
    <xf numFmtId="1" fontId="4" fillId="4" borderId="1" xfId="0" applyNumberFormat="1" applyFont="1" applyFill="1" applyBorder="1" applyAlignment="1" applyProtection="1">
      <alignment horizontal="center" vertical="center" wrapText="1"/>
      <protection locked="0"/>
    </xf>
    <xf numFmtId="14" fontId="12" fillId="0" borderId="0" xfId="0" applyNumberFormat="1" applyFont="1" applyBorder="1" applyAlignment="1">
      <alignment horizontal="left" vertical="center"/>
    </xf>
    <xf numFmtId="0" fontId="13"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12" fillId="0" borderId="0" xfId="0" applyFont="1" applyAlignment="1">
      <alignment horizontal="left" vertical="center" indent="1"/>
    </xf>
    <xf numFmtId="0" fontId="12" fillId="4" borderId="0" xfId="0" applyFont="1" applyFill="1" applyAlignment="1">
      <alignment horizontal="left" vertical="center" wrapText="1"/>
    </xf>
    <xf numFmtId="0" fontId="12" fillId="0" borderId="0" xfId="0" applyFont="1" applyAlignment="1">
      <alignment horizontal="left" vertical="center"/>
    </xf>
    <xf numFmtId="14" fontId="12" fillId="0" borderId="0" xfId="0" applyNumberFormat="1" applyFont="1" applyAlignment="1">
      <alignment horizontal="left" vertical="center"/>
    </xf>
    <xf numFmtId="0" fontId="0" fillId="0" borderId="0" xfId="0" applyAlignment="1">
      <alignment horizontal="left" vertical="center"/>
    </xf>
    <xf numFmtId="3" fontId="17" fillId="4" borderId="0" xfId="0" applyNumberFormat="1" applyFont="1" applyFill="1" applyAlignment="1">
      <alignment horizontal="center" vertical="center"/>
    </xf>
    <xf numFmtId="3" fontId="17" fillId="0" borderId="0" xfId="0" applyNumberFormat="1" applyFont="1" applyAlignment="1">
      <alignment horizontal="center" vertical="center"/>
    </xf>
    <xf numFmtId="3" fontId="17" fillId="0" borderId="0" xfId="0" applyNumberFormat="1" applyFont="1" applyBorder="1" applyAlignment="1">
      <alignment horizontal="center" vertical="center"/>
    </xf>
    <xf numFmtId="165" fontId="12" fillId="4" borderId="0" xfId="0" applyNumberFormat="1" applyFont="1" applyFill="1" applyBorder="1" applyAlignment="1">
      <alignment horizontal="right" vertical="center" indent="1"/>
    </xf>
    <xf numFmtId="165" fontId="12" fillId="3" borderId="0" xfId="0" applyNumberFormat="1" applyFont="1" applyFill="1" applyBorder="1" applyAlignment="1">
      <alignment horizontal="right" vertical="center" indent="1"/>
    </xf>
    <xf numFmtId="3" fontId="12" fillId="3" borderId="0" xfId="0" applyNumberFormat="1" applyFont="1" applyFill="1" applyBorder="1" applyAlignment="1" applyProtection="1">
      <alignment horizontal="right" vertical="center" indent="1"/>
      <protection locked="0"/>
    </xf>
    <xf numFmtId="3" fontId="12" fillId="4" borderId="0" xfId="0" applyNumberFormat="1" applyFont="1" applyFill="1" applyBorder="1" applyAlignment="1">
      <alignment horizontal="right" vertical="center" indent="1"/>
    </xf>
    <xf numFmtId="3" fontId="12" fillId="3" borderId="0" xfId="0" applyNumberFormat="1" applyFont="1" applyFill="1" applyBorder="1" applyAlignment="1">
      <alignment horizontal="right" vertical="center" indent="1"/>
    </xf>
    <xf numFmtId="0" fontId="12" fillId="3" borderId="0" xfId="0" applyFont="1" applyFill="1" applyBorder="1" applyAlignment="1">
      <alignment horizontal="left" vertical="center" indent="1"/>
    </xf>
    <xf numFmtId="0" fontId="12" fillId="4" borderId="0" xfId="0" applyFont="1" applyFill="1" applyBorder="1" applyAlignment="1">
      <alignment horizontal="left" vertical="center" indent="1"/>
    </xf>
    <xf numFmtId="0" fontId="0" fillId="4" borderId="0" xfId="0" applyFill="1" applyAlignment="1">
      <alignment horizontal="right" indent="1"/>
    </xf>
    <xf numFmtId="165" fontId="18" fillId="3" borderId="0" xfId="0" applyNumberFormat="1" applyFont="1" applyFill="1" applyBorder="1" applyAlignment="1">
      <alignment horizontal="right" vertical="center" indent="1"/>
    </xf>
    <xf numFmtId="165" fontId="18" fillId="4" borderId="0" xfId="0" applyNumberFormat="1" applyFont="1" applyFill="1" applyBorder="1" applyAlignment="1">
      <alignment horizontal="right" vertical="center" indent="1"/>
    </xf>
    <xf numFmtId="0" fontId="0" fillId="4" borderId="0" xfId="0" applyFill="1" applyAlignment="1"/>
    <xf numFmtId="0" fontId="0" fillId="0" borderId="0" xfId="0" applyAlignment="1"/>
    <xf numFmtId="0" fontId="0" fillId="4" borderId="0" xfId="0" applyFill="1" applyAlignment="1">
      <alignment vertical="center"/>
    </xf>
    <xf numFmtId="0" fontId="0" fillId="0" borderId="0" xfId="0" applyAlignment="1">
      <alignment vertical="center"/>
    </xf>
    <xf numFmtId="0" fontId="14" fillId="4" borderId="0" xfId="0" applyFont="1" applyFill="1" applyBorder="1" applyAlignment="1">
      <alignment horizontal="left" vertical="center" indent="1"/>
    </xf>
    <xf numFmtId="0" fontId="14" fillId="4" borderId="2" xfId="0" applyFont="1" applyFill="1" applyBorder="1" applyAlignment="1">
      <alignment horizontal="left" vertical="center" indent="1"/>
    </xf>
    <xf numFmtId="1" fontId="4" fillId="4" borderId="3" xfId="0" applyNumberFormat="1" applyFont="1" applyFill="1" applyBorder="1" applyAlignment="1" applyProtection="1">
      <alignment horizontal="center" vertical="center"/>
      <protection locked="0"/>
    </xf>
    <xf numFmtId="1" fontId="12" fillId="4" borderId="4" xfId="0" applyNumberFormat="1" applyFont="1" applyFill="1" applyBorder="1" applyAlignment="1">
      <alignment horizontal="right" vertical="center" indent="5"/>
    </xf>
    <xf numFmtId="1" fontId="12" fillId="4" borderId="5" xfId="0" applyNumberFormat="1" applyFont="1" applyFill="1" applyBorder="1" applyAlignment="1">
      <alignment horizontal="right" vertical="center" indent="5"/>
    </xf>
    <xf numFmtId="0" fontId="14" fillId="3" borderId="0" xfId="0" applyFont="1" applyFill="1" applyBorder="1" applyAlignment="1">
      <alignment horizontal="left" vertical="center" indent="1"/>
    </xf>
    <xf numFmtId="1" fontId="12" fillId="3" borderId="4" xfId="0" applyNumberFormat="1" applyFont="1" applyFill="1" applyBorder="1" applyAlignment="1">
      <alignment horizontal="right" vertical="center" indent="5"/>
    </xf>
    <xf numFmtId="3" fontId="14" fillId="0" borderId="0" xfId="0" applyNumberFormat="1" applyFont="1" applyAlignment="1">
      <alignment horizontal="right" vertical="top" indent="1"/>
    </xf>
    <xf numFmtId="3" fontId="12" fillId="0" borderId="0" xfId="0" applyNumberFormat="1" applyFont="1" applyFill="1" applyAlignment="1">
      <alignment vertical="center"/>
    </xf>
    <xf numFmtId="3" fontId="5" fillId="0" borderId="0" xfId="0" applyNumberFormat="1" applyFont="1" applyFill="1" applyBorder="1" applyAlignment="1" applyProtection="1">
      <alignment horizontal="left" vertical="center" indent="1"/>
      <protection locked="0"/>
    </xf>
    <xf numFmtId="3" fontId="5" fillId="0" borderId="0" xfId="0" applyNumberFormat="1" applyFont="1" applyFill="1" applyBorder="1" applyAlignment="1" applyProtection="1">
      <alignment horizontal="right" vertical="center" indent="1"/>
      <protection locked="0"/>
    </xf>
    <xf numFmtId="0" fontId="0" fillId="0" borderId="0" xfId="0" applyFill="1"/>
    <xf numFmtId="3" fontId="12" fillId="0" borderId="0" xfId="0" applyNumberFormat="1" applyFont="1" applyFill="1" applyAlignment="1"/>
    <xf numFmtId="3" fontId="4" fillId="4" borderId="6" xfId="0" applyNumberFormat="1" applyFont="1" applyFill="1" applyBorder="1" applyAlignment="1" applyProtection="1">
      <alignment horizontal="left" vertical="top" indent="1"/>
      <protection locked="0"/>
    </xf>
    <xf numFmtId="3" fontId="4" fillId="4" borderId="6" xfId="0" applyNumberFormat="1" applyFont="1" applyFill="1" applyBorder="1" applyAlignment="1" applyProtection="1">
      <alignment horizontal="right" vertical="top" indent="1"/>
      <protection locked="0"/>
    </xf>
    <xf numFmtId="0" fontId="0" fillId="0" borderId="7" xfId="0" applyBorder="1" applyAlignment="1">
      <alignment horizontal="left" vertical="center" wrapText="1" indent="1"/>
    </xf>
    <xf numFmtId="3" fontId="4" fillId="4" borderId="8" xfId="0" applyNumberFormat="1" applyFont="1" applyFill="1" applyBorder="1" applyAlignment="1" applyProtection="1">
      <alignment horizontal="left" vertical="center" wrapText="1" indent="1"/>
      <protection locked="0"/>
    </xf>
    <xf numFmtId="1" fontId="4" fillId="4" borderId="9" xfId="0" applyNumberFormat="1" applyFont="1" applyFill="1" applyBorder="1" applyAlignment="1" applyProtection="1">
      <alignment horizontal="right" vertical="center" wrapText="1" indent="1"/>
      <protection locked="0"/>
    </xf>
    <xf numFmtId="3" fontId="4" fillId="4" borderId="4" xfId="0" applyNumberFormat="1" applyFont="1" applyFill="1" applyBorder="1" applyAlignment="1" applyProtection="1">
      <alignment horizontal="right" vertical="center" indent="3"/>
      <protection locked="0"/>
    </xf>
    <xf numFmtId="3" fontId="4" fillId="4" borderId="4" xfId="0" applyNumberFormat="1" applyFont="1" applyFill="1" applyBorder="1" applyAlignment="1" applyProtection="1">
      <alignment horizontal="right" indent="3"/>
      <protection locked="0"/>
    </xf>
    <xf numFmtId="3" fontId="4" fillId="4" borderId="4" xfId="0" applyNumberFormat="1" applyFont="1" applyFill="1" applyBorder="1" applyAlignment="1" applyProtection="1">
      <alignment horizontal="right" vertical="center" indent="4"/>
      <protection locked="0"/>
    </xf>
    <xf numFmtId="3" fontId="5" fillId="0" borderId="4" xfId="0" applyNumberFormat="1" applyFont="1" applyFill="1" applyBorder="1" applyAlignment="1" applyProtection="1">
      <alignment horizontal="right" vertical="center" indent="4"/>
      <protection locked="0"/>
    </xf>
    <xf numFmtId="3" fontId="4" fillId="4" borderId="4" xfId="0" applyNumberFormat="1" applyFont="1" applyFill="1" applyBorder="1" applyAlignment="1" applyProtection="1">
      <alignment horizontal="right" indent="4"/>
      <protection locked="0"/>
    </xf>
    <xf numFmtId="3" fontId="4" fillId="4" borderId="10" xfId="0" applyNumberFormat="1" applyFont="1" applyFill="1" applyBorder="1" applyAlignment="1" applyProtection="1">
      <alignment horizontal="right" vertical="top" indent="4"/>
      <protection locked="0"/>
    </xf>
    <xf numFmtId="0" fontId="12" fillId="0" borderId="0" xfId="0" applyFont="1" applyFill="1" applyBorder="1" applyAlignment="1">
      <alignment horizontal="left" vertical="center" indent="1"/>
    </xf>
    <xf numFmtId="0" fontId="12" fillId="0" borderId="2" xfId="0" applyFont="1" applyFill="1" applyBorder="1" applyAlignment="1">
      <alignment horizontal="left" vertical="center" indent="1"/>
    </xf>
    <xf numFmtId="0" fontId="12" fillId="0" borderId="0" xfId="0" applyFont="1" applyFill="1" applyBorder="1" applyAlignment="1">
      <alignment horizontal="left" vertical="center" indent="1"/>
    </xf>
    <xf numFmtId="3" fontId="4" fillId="4" borderId="11" xfId="0" applyNumberFormat="1" applyFont="1" applyFill="1" applyBorder="1" applyAlignment="1" applyProtection="1">
      <alignment horizontal="left" vertical="center" wrapText="1" indent="1"/>
      <protection locked="0"/>
    </xf>
    <xf numFmtId="0" fontId="12" fillId="0" borderId="12" xfId="0" applyFont="1" applyFill="1" applyBorder="1" applyAlignment="1">
      <alignment horizontal="left" vertical="center" indent="1"/>
    </xf>
    <xf numFmtId="3" fontId="12" fillId="0" borderId="0" xfId="0" applyNumberFormat="1" applyFont="1" applyFill="1" applyBorder="1" applyAlignment="1">
      <alignment horizontal="right" vertical="center" indent="2"/>
    </xf>
    <xf numFmtId="3" fontId="12" fillId="0" borderId="2" xfId="0" applyNumberFormat="1" applyFont="1" applyFill="1" applyBorder="1" applyAlignment="1">
      <alignment horizontal="right" vertical="center" indent="2"/>
    </xf>
    <xf numFmtId="1" fontId="4" fillId="4" borderId="13" xfId="0" applyNumberFormat="1" applyFont="1" applyFill="1" applyBorder="1" applyAlignment="1" applyProtection="1">
      <alignment horizontal="center" vertical="center" wrapText="1"/>
      <protection locked="0"/>
    </xf>
    <xf numFmtId="165" fontId="12" fillId="0" borderId="14" xfId="0" applyNumberFormat="1" applyFont="1" applyFill="1" applyBorder="1" applyAlignment="1">
      <alignment horizontal="right" vertical="center" indent="5"/>
    </xf>
    <xf numFmtId="165" fontId="12" fillId="0" borderId="15" xfId="0" applyNumberFormat="1" applyFont="1" applyFill="1" applyBorder="1" applyAlignment="1">
      <alignment horizontal="right" vertical="center" indent="5"/>
    </xf>
    <xf numFmtId="165" fontId="18" fillId="0" borderId="0" xfId="0" applyNumberFormat="1" applyFont="1" applyFill="1" applyBorder="1" applyAlignment="1">
      <alignment horizontal="right" vertical="center" indent="5"/>
    </xf>
    <xf numFmtId="165" fontId="18" fillId="0" borderId="2" xfId="0" applyNumberFormat="1" applyFont="1" applyFill="1" applyBorder="1" applyAlignment="1">
      <alignment horizontal="right" vertical="center" indent="5"/>
    </xf>
    <xf numFmtId="0" fontId="14" fillId="0" borderId="16" xfId="0" applyFont="1" applyBorder="1" applyAlignment="1">
      <alignment horizontal="center" vertical="center" wrapText="1"/>
    </xf>
    <xf numFmtId="3" fontId="5" fillId="4" borderId="4" xfId="0" applyNumberFormat="1" applyFont="1" applyFill="1" applyBorder="1" applyAlignment="1" applyProtection="1">
      <alignment horizontal="right" vertical="center" indent="3"/>
      <protection locked="0"/>
    </xf>
    <xf numFmtId="3" fontId="4" fillId="4" borderId="5" xfId="0" applyNumberFormat="1" applyFont="1" applyFill="1" applyBorder="1" applyAlignment="1" applyProtection="1">
      <alignment horizontal="right" vertical="top" indent="3"/>
      <protection locked="0"/>
    </xf>
    <xf numFmtId="3" fontId="12" fillId="3" borderId="0" xfId="0" applyNumberFormat="1" applyFont="1" applyFill="1" applyBorder="1" applyAlignment="1">
      <alignment horizontal="right" vertical="center" indent="1"/>
    </xf>
    <xf numFmtId="0" fontId="12" fillId="3" borderId="0" xfId="0" applyFont="1" applyFill="1" applyBorder="1" applyAlignment="1">
      <alignment horizontal="left" vertical="center" indent="1"/>
    </xf>
    <xf numFmtId="0" fontId="12" fillId="4" borderId="0" xfId="0" applyFont="1" applyFill="1" applyBorder="1" applyAlignment="1">
      <alignment horizontal="left" vertical="center" indent="1"/>
    </xf>
    <xf numFmtId="3" fontId="12" fillId="4" borderId="0" xfId="2" applyNumberFormat="1" applyFont="1" applyFill="1" applyBorder="1"/>
    <xf numFmtId="3" fontId="12" fillId="4" borderId="0" xfId="0" applyNumberFormat="1" applyFont="1" applyFill="1" applyBorder="1"/>
    <xf numFmtId="3" fontId="12" fillId="4" borderId="0" xfId="0" applyNumberFormat="1" applyFont="1" applyFill="1" applyBorder="1" applyAlignment="1">
      <alignment horizontal="right" vertical="center" indent="1"/>
    </xf>
    <xf numFmtId="3" fontId="12" fillId="3" borderId="7" xfId="2" applyNumberFormat="1" applyFont="1" applyFill="1" applyBorder="1"/>
    <xf numFmtId="3" fontId="12" fillId="3" borderId="7" xfId="0" applyNumberFormat="1" applyFont="1" applyFill="1" applyBorder="1"/>
    <xf numFmtId="3" fontId="12" fillId="3" borderId="0" xfId="2" applyNumberFormat="1" applyFont="1" applyFill="1" applyBorder="1"/>
    <xf numFmtId="3" fontId="12" fillId="3" borderId="0" xfId="0" applyNumberFormat="1" applyFont="1" applyFill="1" applyBorder="1"/>
    <xf numFmtId="0" fontId="12" fillId="4" borderId="0" xfId="0" applyFont="1" applyFill="1" applyBorder="1" applyAlignment="1">
      <alignment horizontal="left" vertical="center" wrapText="1"/>
    </xf>
    <xf numFmtId="0" fontId="13" fillId="4" borderId="0" xfId="0" applyFont="1" applyFill="1" applyBorder="1" applyAlignment="1">
      <alignment horizontal="left" vertical="center" wrapText="1"/>
    </xf>
    <xf numFmtId="3" fontId="0" fillId="4" borderId="0" xfId="0" applyNumberFormat="1" applyFill="1" applyAlignment="1">
      <alignment vertical="center"/>
    </xf>
    <xf numFmtId="0" fontId="0" fillId="0" borderId="0" xfId="0" applyFill="1" applyAlignment="1">
      <alignment vertical="center"/>
    </xf>
    <xf numFmtId="3" fontId="4" fillId="0" borderId="0" xfId="0" applyNumberFormat="1" applyFont="1" applyFill="1" applyBorder="1" applyAlignment="1" applyProtection="1">
      <alignment horizontal="right" vertical="center" indent="1"/>
      <protection locked="0"/>
    </xf>
    <xf numFmtId="3" fontId="0" fillId="0" borderId="0" xfId="0" applyNumberFormat="1" applyFill="1" applyAlignment="1">
      <alignment vertical="center"/>
    </xf>
    <xf numFmtId="3" fontId="12" fillId="3" borderId="0" xfId="0" applyNumberFormat="1" applyFont="1" applyFill="1" applyBorder="1" applyAlignment="1">
      <alignment horizontal="right" vertical="center" indent="3"/>
    </xf>
    <xf numFmtId="3" fontId="12" fillId="4" borderId="0" xfId="0" applyNumberFormat="1" applyFont="1" applyFill="1" applyBorder="1" applyAlignment="1">
      <alignment horizontal="right" vertical="center" indent="3"/>
    </xf>
    <xf numFmtId="3" fontId="12" fillId="4" borderId="2" xfId="0" applyNumberFormat="1" applyFont="1" applyFill="1" applyBorder="1" applyAlignment="1">
      <alignment horizontal="right" vertical="center" indent="3"/>
    </xf>
    <xf numFmtId="3" fontId="12" fillId="0" borderId="0" xfId="0" applyNumberFormat="1" applyFont="1" applyFill="1" applyAlignment="1">
      <alignment horizontal="left" vertical="center" indent="1"/>
    </xf>
    <xf numFmtId="0" fontId="0" fillId="0" borderId="0" xfId="0" applyFill="1" applyAlignment="1">
      <alignment horizontal="left" indent="1"/>
    </xf>
    <xf numFmtId="0" fontId="0" fillId="0" borderId="0" xfId="0" applyFill="1" applyBorder="1" applyAlignment="1">
      <alignment horizontal="left" indent="1"/>
    </xf>
    <xf numFmtId="3" fontId="12" fillId="3" borderId="0" xfId="0" applyNumberFormat="1" applyFont="1" applyFill="1" applyAlignment="1">
      <alignment vertical="center"/>
    </xf>
    <xf numFmtId="3" fontId="5" fillId="3" borderId="4" xfId="0" applyNumberFormat="1" applyFont="1" applyFill="1" applyBorder="1" applyAlignment="1" applyProtection="1">
      <alignment horizontal="right" vertical="center" indent="4"/>
      <protection locked="0"/>
    </xf>
    <xf numFmtId="0" fontId="0" fillId="3" borderId="0" xfId="0" applyFill="1"/>
    <xf numFmtId="3" fontId="5" fillId="3" borderId="4" xfId="0" applyNumberFormat="1" applyFont="1" applyFill="1" applyBorder="1" applyAlignment="1" applyProtection="1">
      <alignment horizontal="right" vertical="center" indent="3"/>
      <protection locked="0"/>
    </xf>
    <xf numFmtId="3" fontId="12" fillId="3" borderId="0" xfId="0" applyNumberFormat="1" applyFont="1" applyFill="1" applyBorder="1" applyAlignment="1">
      <alignment horizontal="right" vertical="center" indent="2"/>
    </xf>
    <xf numFmtId="0" fontId="12" fillId="3" borderId="12" xfId="0" applyFont="1" applyFill="1" applyBorder="1" applyAlignment="1">
      <alignment horizontal="left" vertical="center" indent="1"/>
    </xf>
    <xf numFmtId="165" fontId="12" fillId="3" borderId="14" xfId="0" applyNumberFormat="1" applyFont="1" applyFill="1" applyBorder="1" applyAlignment="1">
      <alignment horizontal="right" vertical="center" indent="5"/>
    </xf>
    <xf numFmtId="165" fontId="18" fillId="3" borderId="0" xfId="0" applyNumberFormat="1" applyFont="1" applyFill="1" applyBorder="1" applyAlignment="1">
      <alignment horizontal="right" vertical="center" indent="5"/>
    </xf>
    <xf numFmtId="3" fontId="0" fillId="4" borderId="0" xfId="0" applyNumberFormat="1" applyFill="1" applyAlignment="1">
      <alignment horizontal="right" indent="1"/>
    </xf>
    <xf numFmtId="14" fontId="12" fillId="0" borderId="0" xfId="0" applyNumberFormat="1" applyFont="1" applyBorder="1" applyAlignment="1">
      <alignment horizontal="left" vertical="center"/>
    </xf>
    <xf numFmtId="0" fontId="13"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vertical="center" indent="1"/>
    </xf>
    <xf numFmtId="3" fontId="17" fillId="0" borderId="0" xfId="0" applyNumberFormat="1" applyFont="1" applyFill="1" applyAlignment="1">
      <alignment horizontal="center" vertical="center"/>
    </xf>
    <xf numFmtId="0" fontId="12" fillId="0" borderId="0" xfId="0" applyFont="1" applyFill="1" applyAlignment="1">
      <alignment horizontal="left" vertical="center" indent="1"/>
    </xf>
    <xf numFmtId="0" fontId="0" fillId="0" borderId="0" xfId="0" applyFont="1" applyFill="1" applyAlignment="1">
      <alignment horizontal="left" vertical="center" indent="1"/>
    </xf>
    <xf numFmtId="3" fontId="14" fillId="0" borderId="0" xfId="0" applyNumberFormat="1" applyFont="1" applyFill="1" applyAlignment="1">
      <alignment horizontal="left" vertical="center"/>
    </xf>
    <xf numFmtId="3" fontId="12" fillId="0" borderId="0" xfId="0" applyNumberFormat="1" applyFont="1" applyFill="1" applyAlignment="1">
      <alignment horizontal="left"/>
    </xf>
    <xf numFmtId="0" fontId="12" fillId="0" borderId="0" xfId="0" applyFont="1" applyFill="1" applyAlignment="1">
      <alignment horizontal="left" vertical="center"/>
    </xf>
    <xf numFmtId="0" fontId="12" fillId="0" borderId="0" xfId="0" applyFont="1" applyFill="1" applyAlignment="1">
      <alignment horizontal="left"/>
    </xf>
    <xf numFmtId="0" fontId="0" fillId="0" borderId="0" xfId="0" applyFill="1" applyAlignment="1">
      <alignment horizontal="left" vertical="center" wrapText="1"/>
    </xf>
    <xf numFmtId="0" fontId="0" fillId="0" borderId="0" xfId="0" applyFill="1" applyAlignment="1"/>
    <xf numFmtId="0" fontId="12" fillId="0" borderId="0" xfId="0" applyFont="1" applyFill="1" applyAlignment="1">
      <alignment horizontal="left" vertical="center" wrapText="1" indent="1"/>
    </xf>
    <xf numFmtId="0" fontId="0" fillId="0" borderId="0" xfId="0" applyFill="1" applyAlignment="1">
      <alignment horizontal="left" vertical="center" wrapText="1" indent="1"/>
    </xf>
    <xf numFmtId="0" fontId="12" fillId="0" borderId="0" xfId="0" applyFont="1" applyFill="1" applyAlignment="1">
      <alignment horizontal="left" vertical="center" wrapText="1"/>
    </xf>
    <xf numFmtId="0" fontId="0" fillId="0" borderId="0" xfId="0" applyFill="1" applyAlignment="1">
      <alignment horizontal="left" wrapText="1" indent="1"/>
    </xf>
    <xf numFmtId="0" fontId="0" fillId="0" borderId="0" xfId="0" applyFont="1" applyFill="1" applyAlignment="1">
      <alignment horizontal="left" indent="1"/>
    </xf>
    <xf numFmtId="3" fontId="12" fillId="0" borderId="0" xfId="0" applyNumberFormat="1" applyFont="1" applyFill="1" applyAlignment="1">
      <alignment horizontal="left" indent="1"/>
    </xf>
    <xf numFmtId="0" fontId="12" fillId="0" borderId="0" xfId="0" applyFont="1" applyFill="1" applyAlignment="1">
      <alignment horizontal="left" indent="1"/>
    </xf>
    <xf numFmtId="0" fontId="12" fillId="0" borderId="0" xfId="0" applyFont="1" applyFill="1" applyAlignment="1">
      <alignment horizontal="left" vertical="center" wrapText="1" indent="1"/>
    </xf>
    <xf numFmtId="0" fontId="0" fillId="0" borderId="0" xfId="0" applyFill="1" applyAlignment="1">
      <alignment horizontal="left" vertical="center" indent="1"/>
    </xf>
    <xf numFmtId="0" fontId="12" fillId="0" borderId="0" xfId="0" applyFont="1" applyFill="1" applyAlignment="1">
      <alignment horizontal="left" wrapText="1" indent="1"/>
    </xf>
    <xf numFmtId="0" fontId="0" fillId="0" borderId="0" xfId="0" applyFont="1" applyFill="1" applyAlignment="1">
      <alignment horizontal="left" wrapText="1" indent="1"/>
    </xf>
    <xf numFmtId="0" fontId="12" fillId="0" borderId="0" xfId="0" applyFont="1" applyFill="1" applyAlignment="1">
      <alignment horizontal="left" vertical="center" wrapText="1"/>
    </xf>
    <xf numFmtId="0" fontId="0" fillId="0" borderId="0" xfId="0" applyFill="1" applyAlignment="1">
      <alignment horizontal="left" wrapText="1" indent="1"/>
    </xf>
    <xf numFmtId="0" fontId="12" fillId="0" borderId="0" xfId="0" applyFont="1" applyFill="1" applyAlignment="1">
      <alignment horizontal="left" vertical="top" indent="1"/>
    </xf>
    <xf numFmtId="0" fontId="0" fillId="0" borderId="0" xfId="0" applyAlignment="1">
      <alignment horizontal="left" vertical="center" indent="1"/>
    </xf>
    <xf numFmtId="3" fontId="4" fillId="0" borderId="0" xfId="0" applyNumberFormat="1" applyFont="1" applyAlignment="1">
      <alignment horizontal="left" vertical="center" indent="1"/>
    </xf>
    <xf numFmtId="0" fontId="19" fillId="0" borderId="0" xfId="0" applyFont="1" applyAlignment="1">
      <alignment horizontal="left" vertical="center" indent="1"/>
    </xf>
    <xf numFmtId="1" fontId="4" fillId="4" borderId="17" xfId="0" applyNumberFormat="1" applyFont="1" applyFill="1" applyBorder="1" applyAlignment="1" applyProtection="1">
      <alignment horizontal="right" vertical="center" wrapText="1"/>
      <protection locked="0"/>
    </xf>
    <xf numFmtId="1" fontId="12" fillId="3" borderId="0" xfId="0" applyNumberFormat="1" applyFont="1" applyFill="1" applyBorder="1" applyAlignment="1">
      <alignment horizontal="center" vertical="center"/>
    </xf>
    <xf numFmtId="1" fontId="12" fillId="4" borderId="0" xfId="0" applyNumberFormat="1" applyFont="1" applyFill="1" applyBorder="1" applyAlignment="1">
      <alignment horizontal="center" vertical="center"/>
    </xf>
    <xf numFmtId="1" fontId="12" fillId="4" borderId="2" xfId="0" applyNumberFormat="1" applyFont="1" applyFill="1" applyBorder="1" applyAlignment="1">
      <alignment horizontal="center" vertical="center"/>
    </xf>
    <xf numFmtId="3" fontId="4" fillId="4" borderId="8" xfId="0" applyNumberFormat="1" applyFont="1" applyFill="1" applyBorder="1" applyAlignment="1" applyProtection="1">
      <alignment horizontal="center" vertical="center"/>
      <protection locked="0"/>
    </xf>
    <xf numFmtId="3" fontId="12" fillId="3" borderId="4" xfId="0" applyNumberFormat="1" applyFont="1" applyFill="1" applyBorder="1" applyAlignment="1">
      <alignment horizontal="right" vertical="center" indent="3"/>
    </xf>
    <xf numFmtId="3" fontId="12" fillId="4" borderId="4" xfId="0" applyNumberFormat="1" applyFont="1" applyFill="1" applyBorder="1" applyAlignment="1">
      <alignment horizontal="right" vertical="center" indent="3"/>
    </xf>
    <xf numFmtId="3" fontId="12" fillId="0" borderId="5" xfId="0" applyNumberFormat="1" applyFont="1" applyFill="1" applyBorder="1" applyAlignment="1">
      <alignment horizontal="right" vertical="center" indent="3"/>
    </xf>
    <xf numFmtId="3" fontId="20" fillId="0" borderId="0" xfId="0" applyNumberFormat="1" applyFont="1" applyAlignment="1">
      <alignment vertical="center"/>
    </xf>
    <xf numFmtId="0" fontId="12" fillId="0" borderId="0" xfId="0" applyFont="1" applyFill="1" applyAlignment="1">
      <alignment horizontal="left" vertical="top"/>
    </xf>
    <xf numFmtId="0" fontId="21" fillId="0" borderId="0" xfId="1" applyFont="1" applyBorder="1" applyAlignment="1">
      <alignment horizontal="right" vertical="center" indent="1"/>
    </xf>
    <xf numFmtId="3" fontId="14" fillId="0" borderId="0" xfId="0" applyNumberFormat="1" applyFont="1" applyAlignment="1">
      <alignment vertical="center"/>
    </xf>
    <xf numFmtId="0" fontId="21" fillId="0" borderId="0" xfId="0" applyFont="1" applyFill="1" applyAlignment="1">
      <alignment horizontal="left" vertical="top"/>
    </xf>
    <xf numFmtId="0" fontId="21" fillId="0" borderId="0" xfId="1" applyFont="1" applyFill="1" applyAlignment="1">
      <alignment horizontal="left" vertical="top"/>
    </xf>
    <xf numFmtId="0" fontId="21" fillId="0" borderId="0" xfId="0" applyFont="1" applyFill="1" applyAlignment="1">
      <alignment horizontal="left" vertical="top" indent="1"/>
    </xf>
    <xf numFmtId="3" fontId="12" fillId="3" borderId="0" xfId="0" applyNumberFormat="1" applyFont="1" applyFill="1" applyBorder="1" applyAlignment="1">
      <alignment horizontal="right" vertical="center" indent="1"/>
    </xf>
    <xf numFmtId="165" fontId="12" fillId="3" borderId="0" xfId="0" applyNumberFormat="1" applyFont="1" applyFill="1" applyBorder="1" applyAlignment="1">
      <alignment horizontal="right" vertical="center" indent="1"/>
    </xf>
    <xf numFmtId="0" fontId="12" fillId="4" borderId="0" xfId="0" applyFont="1" applyFill="1" applyBorder="1" applyAlignment="1">
      <alignment horizontal="left" vertical="center" indent="1"/>
    </xf>
    <xf numFmtId="3" fontId="12" fillId="4" borderId="0" xfId="0" applyNumberFormat="1" applyFont="1" applyFill="1" applyBorder="1" applyAlignment="1">
      <alignment horizontal="right" vertical="center" indent="1"/>
    </xf>
    <xf numFmtId="0" fontId="12" fillId="4" borderId="2" xfId="0" applyFont="1" applyFill="1" applyBorder="1" applyAlignment="1">
      <alignment horizontal="left" vertical="center" indent="1"/>
    </xf>
    <xf numFmtId="3" fontId="12" fillId="4" borderId="2" xfId="0" applyNumberFormat="1" applyFont="1" applyFill="1" applyBorder="1" applyAlignment="1">
      <alignment horizontal="right" vertical="center" indent="1"/>
    </xf>
    <xf numFmtId="3" fontId="12" fillId="4" borderId="2" xfId="2" applyNumberFormat="1" applyFont="1" applyFill="1" applyBorder="1"/>
    <xf numFmtId="3" fontId="12" fillId="4" borderId="2" xfId="0" applyNumberFormat="1" applyFont="1" applyFill="1" applyBorder="1"/>
    <xf numFmtId="165" fontId="12" fillId="4" borderId="2" xfId="0" applyNumberFormat="1" applyFont="1" applyFill="1" applyBorder="1" applyAlignment="1">
      <alignment horizontal="right" vertical="center" indent="1"/>
    </xf>
    <xf numFmtId="165" fontId="18" fillId="4" borderId="2" xfId="0" applyNumberFormat="1" applyFont="1" applyFill="1" applyBorder="1" applyAlignment="1">
      <alignment horizontal="right" vertical="center" indent="1"/>
    </xf>
    <xf numFmtId="0" fontId="0" fillId="0" borderId="0" xfId="0" applyAlignment="1">
      <alignment horizontal="left" wrapText="1" indent="1"/>
    </xf>
    <xf numFmtId="14" fontId="12" fillId="0" borderId="0" xfId="0" applyNumberFormat="1" applyFont="1" applyBorder="1" applyAlignment="1">
      <alignment horizontal="left" vertical="center"/>
    </xf>
    <xf numFmtId="0" fontId="13"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Alignment="1">
      <alignment horizontal="left" wrapText="1" indent="1"/>
    </xf>
    <xf numFmtId="3" fontId="5" fillId="3" borderId="0" xfId="0" applyNumberFormat="1" applyFont="1" applyFill="1" applyBorder="1" applyAlignment="1">
      <alignment vertical="center"/>
    </xf>
    <xf numFmtId="3" fontId="5" fillId="3" borderId="0" xfId="0" applyNumberFormat="1" applyFont="1" applyFill="1" applyBorder="1" applyAlignment="1">
      <alignment horizontal="right" vertical="center" indent="3"/>
    </xf>
    <xf numFmtId="3" fontId="5" fillId="2" borderId="0" xfId="0" applyNumberFormat="1" applyFont="1" applyFill="1" applyBorder="1" applyAlignment="1">
      <alignment vertical="center"/>
    </xf>
    <xf numFmtId="3" fontId="5" fillId="4" borderId="0" xfId="0" applyNumberFormat="1" applyFont="1" applyFill="1" applyBorder="1" applyAlignment="1">
      <alignment horizontal="right" vertical="center" indent="3"/>
    </xf>
    <xf numFmtId="3" fontId="5" fillId="2" borderId="2" xfId="0" applyNumberFormat="1" applyFont="1" applyFill="1" applyBorder="1" applyAlignment="1">
      <alignment vertical="center"/>
    </xf>
    <xf numFmtId="3" fontId="5" fillId="4" borderId="2" xfId="0" applyNumberFormat="1" applyFont="1" applyFill="1" applyBorder="1" applyAlignment="1">
      <alignment horizontal="right" vertical="center" indent="3"/>
    </xf>
    <xf numFmtId="165" fontId="5" fillId="3" borderId="0" xfId="0" applyNumberFormat="1" applyFont="1" applyFill="1" applyBorder="1" applyAlignment="1">
      <alignment horizontal="center" vertical="center"/>
    </xf>
    <xf numFmtId="165" fontId="5" fillId="4" borderId="0" xfId="0" applyNumberFormat="1" applyFont="1" applyFill="1" applyBorder="1" applyAlignment="1">
      <alignment horizontal="center" vertical="center"/>
    </xf>
    <xf numFmtId="165" fontId="5" fillId="4" borderId="2" xfId="0" applyNumberFormat="1" applyFont="1" applyFill="1" applyBorder="1" applyAlignment="1">
      <alignment horizontal="center" vertical="center"/>
    </xf>
    <xf numFmtId="1" fontId="5" fillId="3" borderId="0" xfId="0" applyNumberFormat="1" applyFont="1" applyFill="1" applyBorder="1" applyAlignment="1">
      <alignment horizontal="center" vertical="center"/>
    </xf>
    <xf numFmtId="1" fontId="5" fillId="3" borderId="18" xfId="0" applyNumberFormat="1" applyFont="1" applyFill="1" applyBorder="1" applyAlignment="1">
      <alignment horizontal="center" vertical="center"/>
    </xf>
    <xf numFmtId="1" fontId="5" fillId="4" borderId="0" xfId="0" applyNumberFormat="1" applyFont="1" applyFill="1" applyBorder="1" applyAlignment="1">
      <alignment horizontal="center" vertical="center"/>
    </xf>
    <xf numFmtId="1" fontId="5" fillId="4" borderId="18"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1" fontId="5" fillId="4" borderId="19" xfId="0" applyNumberFormat="1" applyFont="1" applyFill="1" applyBorder="1" applyAlignment="1">
      <alignment horizontal="center" vertical="center"/>
    </xf>
    <xf numFmtId="165" fontId="5" fillId="3" borderId="0" xfId="0" applyNumberFormat="1" applyFont="1" applyFill="1" applyBorder="1" applyAlignment="1">
      <alignment horizontal="right" vertical="center" indent="5"/>
    </xf>
    <xf numFmtId="165" fontId="5" fillId="4" borderId="0" xfId="0" applyNumberFormat="1" applyFont="1" applyFill="1" applyBorder="1" applyAlignment="1">
      <alignment horizontal="right" vertical="center" indent="5"/>
    </xf>
    <xf numFmtId="165" fontId="5" fillId="4" borderId="2" xfId="0" applyNumberFormat="1" applyFont="1" applyFill="1" applyBorder="1" applyAlignment="1">
      <alignment horizontal="right" vertical="center" indent="5"/>
    </xf>
    <xf numFmtId="3" fontId="4" fillId="0" borderId="8" xfId="0" applyNumberFormat="1" applyFont="1" applyFill="1" applyBorder="1" applyAlignment="1" applyProtection="1">
      <alignment horizontal="center" vertical="center"/>
      <protection locked="0"/>
    </xf>
    <xf numFmtId="3" fontId="4" fillId="0" borderId="20" xfId="0" applyNumberFormat="1" applyFont="1" applyFill="1" applyBorder="1" applyAlignment="1" applyProtection="1">
      <alignment horizontal="center" vertical="center" wrapText="1"/>
      <protection locked="0"/>
    </xf>
    <xf numFmtId="3" fontId="4" fillId="0" borderId="8" xfId="0" applyNumberFormat="1" applyFont="1" applyFill="1" applyBorder="1" applyAlignment="1" applyProtection="1">
      <alignment horizontal="center" vertical="center" wrapText="1"/>
      <protection locked="0"/>
    </xf>
    <xf numFmtId="3" fontId="5" fillId="3" borderId="0" xfId="0" applyNumberFormat="1" applyFont="1" applyFill="1"/>
    <xf numFmtId="3" fontId="5" fillId="0" borderId="0" xfId="0" applyNumberFormat="1" applyFont="1"/>
    <xf numFmtId="3" fontId="5" fillId="3" borderId="0" xfId="0" applyNumberFormat="1" applyFont="1" applyFill="1" applyAlignment="1">
      <alignment horizontal="right" vertical="center"/>
    </xf>
    <xf numFmtId="3" fontId="5" fillId="0" borderId="0" xfId="0" applyNumberFormat="1" applyFont="1" applyAlignment="1">
      <alignment horizontal="right" vertical="center"/>
    </xf>
    <xf numFmtId="3" fontId="5" fillId="4" borderId="0" xfId="0" applyNumberFormat="1" applyFont="1" applyFill="1"/>
    <xf numFmtId="3" fontId="5" fillId="4" borderId="0" xfId="0" applyNumberFormat="1" applyFont="1" applyFill="1" applyAlignment="1">
      <alignment horizontal="right" vertical="center"/>
    </xf>
    <xf numFmtId="3" fontId="5" fillId="3" borderId="0" xfId="0" applyNumberFormat="1" applyFont="1" applyFill="1" applyAlignment="1"/>
    <xf numFmtId="3" fontId="5" fillId="4" borderId="2" xfId="0" applyNumberFormat="1" applyFont="1" applyFill="1" applyBorder="1"/>
    <xf numFmtId="164" fontId="5" fillId="3" borderId="0" xfId="0" applyNumberFormat="1" applyFont="1" applyFill="1" applyBorder="1" applyAlignment="1">
      <alignment horizontal="right" vertical="center" indent="1"/>
    </xf>
    <xf numFmtId="164" fontId="5" fillId="4" borderId="0" xfId="0" applyNumberFormat="1" applyFont="1" applyFill="1" applyBorder="1" applyAlignment="1">
      <alignment horizontal="right" vertical="center" indent="1"/>
    </xf>
    <xf numFmtId="164" fontId="5" fillId="4" borderId="2" xfId="0" applyNumberFormat="1" applyFont="1" applyFill="1" applyBorder="1" applyAlignment="1">
      <alignment horizontal="right" vertical="center" indent="1"/>
    </xf>
    <xf numFmtId="1" fontId="4" fillId="0" borderId="1" xfId="0" applyNumberFormat="1" applyFont="1" applyFill="1" applyBorder="1" applyAlignment="1" applyProtection="1">
      <alignment horizontal="right" vertical="center" wrapText="1"/>
      <protection locked="0"/>
    </xf>
    <xf numFmtId="3" fontId="4" fillId="0" borderId="0" xfId="0" applyNumberFormat="1" applyFont="1" applyFill="1" applyAlignment="1">
      <alignment horizontal="left" vertical="center" indent="1"/>
    </xf>
    <xf numFmtId="0" fontId="13" fillId="0" borderId="0" xfId="0" applyFont="1" applyFill="1" applyBorder="1" applyAlignment="1">
      <alignment horizontal="right" vertical="center" indent="1"/>
    </xf>
    <xf numFmtId="0" fontId="21" fillId="0" borderId="0" xfId="1" applyFont="1" applyFill="1" applyBorder="1" applyAlignment="1">
      <alignment horizontal="right" vertical="center" indent="1"/>
    </xf>
    <xf numFmtId="0" fontId="21" fillId="3" borderId="0" xfId="0" applyFont="1" applyFill="1" applyBorder="1" applyAlignment="1">
      <alignment horizontal="left" vertical="center" indent="1"/>
    </xf>
    <xf numFmtId="3" fontId="21" fillId="3" borderId="0" xfId="0" applyNumberFormat="1" applyFont="1" applyFill="1" applyBorder="1" applyAlignment="1">
      <alignment horizontal="right" vertical="center" indent="1"/>
    </xf>
    <xf numFmtId="3" fontId="21" fillId="3" borderId="0" xfId="2" applyNumberFormat="1" applyFont="1" applyFill="1" applyBorder="1"/>
    <xf numFmtId="3" fontId="21" fillId="3" borderId="0" xfId="0" applyNumberFormat="1" applyFont="1" applyFill="1" applyBorder="1"/>
    <xf numFmtId="3" fontId="21" fillId="3" borderId="0" xfId="0" applyNumberFormat="1" applyFont="1" applyFill="1"/>
    <xf numFmtId="165" fontId="21" fillId="3" borderId="0" xfId="0" applyNumberFormat="1" applyFont="1" applyFill="1" applyBorder="1" applyAlignment="1">
      <alignment horizontal="right" vertical="center" indent="1"/>
    </xf>
    <xf numFmtId="164" fontId="21" fillId="3" borderId="0" xfId="0" applyNumberFormat="1" applyFont="1" applyFill="1" applyBorder="1" applyAlignment="1">
      <alignment horizontal="right" vertical="center" indent="1"/>
    </xf>
    <xf numFmtId="0" fontId="5" fillId="3" borderId="21" xfId="0" applyFont="1" applyFill="1" applyBorder="1" applyAlignment="1">
      <alignment horizontal="left" vertical="center" indent="1"/>
    </xf>
    <xf numFmtId="0" fontId="5" fillId="0" borderId="12" xfId="0" applyFont="1" applyBorder="1" applyAlignment="1">
      <alignment horizontal="left" vertical="center" indent="1"/>
    </xf>
    <xf numFmtId="0" fontId="5" fillId="3" borderId="12" xfId="0" applyFont="1" applyFill="1" applyBorder="1" applyAlignment="1">
      <alignment horizontal="left" vertical="center" indent="1"/>
    </xf>
    <xf numFmtId="0" fontId="5" fillId="0" borderId="12" xfId="0" applyFont="1" applyFill="1" applyBorder="1" applyAlignment="1">
      <alignment horizontal="left" vertical="center" indent="1"/>
    </xf>
    <xf numFmtId="165" fontId="5" fillId="0" borderId="0" xfId="0" applyNumberFormat="1" applyFont="1" applyFill="1" applyBorder="1" applyAlignment="1">
      <alignment horizontal="right" vertical="center" indent="5"/>
    </xf>
    <xf numFmtId="0" fontId="5" fillId="0" borderId="22" xfId="0" applyFont="1" applyFill="1" applyBorder="1" applyAlignment="1">
      <alignment horizontal="left" vertical="center" indent="1"/>
    </xf>
    <xf numFmtId="3" fontId="4" fillId="0" borderId="11" xfId="0" applyNumberFormat="1" applyFont="1" applyFill="1" applyBorder="1" applyAlignment="1" applyProtection="1">
      <alignment horizontal="left" vertical="center" wrapText="1" indent="1"/>
      <protection locked="0"/>
    </xf>
    <xf numFmtId="1" fontId="4" fillId="0" borderId="1" xfId="0" applyNumberFormat="1" applyFont="1" applyFill="1" applyBorder="1" applyAlignment="1" applyProtection="1">
      <alignment horizontal="center" vertical="center" wrapText="1"/>
      <protection locked="0"/>
    </xf>
    <xf numFmtId="164" fontId="5" fillId="3" borderId="0" xfId="0" applyNumberFormat="1" applyFont="1" applyFill="1" applyAlignment="1">
      <alignment horizontal="right" vertical="center" indent="4"/>
    </xf>
    <xf numFmtId="164" fontId="5" fillId="0" borderId="0" xfId="0" applyNumberFormat="1" applyFont="1" applyAlignment="1">
      <alignment horizontal="right" vertical="center" indent="4"/>
    </xf>
    <xf numFmtId="0" fontId="5" fillId="0" borderId="0" xfId="0" applyFont="1" applyFill="1" applyBorder="1" applyAlignment="1">
      <alignment horizontal="left" vertical="center" indent="1"/>
    </xf>
    <xf numFmtId="3" fontId="5" fillId="0" borderId="0" xfId="0" applyNumberFormat="1" applyFont="1" applyFill="1" applyBorder="1" applyAlignment="1">
      <alignment horizontal="right" vertical="center" indent="2"/>
    </xf>
    <xf numFmtId="3" fontId="21" fillId="3" borderId="0" xfId="0" applyNumberFormat="1" applyFont="1" applyFill="1" applyBorder="1" applyAlignment="1">
      <alignment horizontal="right" vertical="center" indent="2"/>
    </xf>
    <xf numFmtId="165" fontId="5" fillId="0" borderId="14" xfId="0" applyNumberFormat="1" applyFont="1" applyFill="1" applyBorder="1" applyAlignment="1">
      <alignment horizontal="right" vertical="center" indent="5"/>
    </xf>
    <xf numFmtId="0" fontId="21" fillId="3" borderId="12" xfId="0" applyFont="1" applyFill="1" applyBorder="1" applyAlignment="1">
      <alignment horizontal="left" vertical="center" indent="1"/>
    </xf>
    <xf numFmtId="165" fontId="21" fillId="3" borderId="14" xfId="0" applyNumberFormat="1" applyFont="1" applyFill="1" applyBorder="1" applyAlignment="1">
      <alignment horizontal="right" vertical="center" indent="5"/>
    </xf>
    <xf numFmtId="165" fontId="21" fillId="3" borderId="0" xfId="0" applyNumberFormat="1" applyFont="1" applyFill="1" applyBorder="1" applyAlignment="1">
      <alignment horizontal="right" vertical="center" indent="5"/>
    </xf>
    <xf numFmtId="164" fontId="5" fillId="0" borderId="2" xfId="0" applyNumberFormat="1" applyFont="1" applyFill="1" applyBorder="1" applyAlignment="1">
      <alignment horizontal="right" vertical="center" indent="4"/>
    </xf>
    <xf numFmtId="0" fontId="21" fillId="0" borderId="12" xfId="0" applyFont="1" applyBorder="1" applyAlignment="1">
      <alignment horizontal="left" vertical="center" indent="1"/>
    </xf>
    <xf numFmtId="164" fontId="21" fillId="0" borderId="0" xfId="0" applyNumberFormat="1" applyFont="1" applyAlignment="1">
      <alignment horizontal="right" vertical="center" indent="4"/>
    </xf>
    <xf numFmtId="3" fontId="14" fillId="4" borderId="23" xfId="0" applyNumberFormat="1" applyFont="1" applyFill="1" applyBorder="1" applyAlignment="1">
      <alignment horizontal="center" vertical="center"/>
    </xf>
    <xf numFmtId="0" fontId="12" fillId="3" borderId="18"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8" xfId="0" applyFont="1" applyFill="1" applyBorder="1" applyAlignment="1">
      <alignment horizontal="center" vertical="center"/>
    </xf>
    <xf numFmtId="0" fontId="5"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5" fillId="3" borderId="18" xfId="0" applyFont="1" applyFill="1" applyBorder="1" applyAlignment="1">
      <alignment horizontal="center" vertical="center"/>
    </xf>
    <xf numFmtId="3" fontId="14" fillId="0" borderId="0" xfId="0" applyNumberFormat="1" applyFont="1" applyFill="1" applyAlignment="1">
      <alignment horizontal="left" indent="1"/>
    </xf>
    <xf numFmtId="0" fontId="14" fillId="0" borderId="0" xfId="0" applyFont="1" applyFill="1" applyAlignment="1">
      <alignment horizontal="right" vertical="top" indent="1"/>
    </xf>
    <xf numFmtId="0" fontId="0" fillId="0" borderId="0" xfId="0" applyBorder="1" applyAlignment="1">
      <alignment horizontal="left" wrapText="1" indent="1"/>
    </xf>
    <xf numFmtId="3" fontId="22" fillId="0" borderId="0" xfId="0" applyNumberFormat="1" applyFont="1" applyFill="1" applyAlignment="1">
      <alignment horizontal="left" vertical="top" wrapText="1"/>
    </xf>
    <xf numFmtId="0" fontId="23" fillId="0" borderId="0" xfId="0" applyFont="1" applyFill="1" applyAlignment="1">
      <alignment horizontal="left" vertical="top" wrapText="1"/>
    </xf>
    <xf numFmtId="0" fontId="23" fillId="0" borderId="0" xfId="0" applyFont="1" applyAlignment="1">
      <alignment horizontal="left" vertical="top" wrapText="1"/>
    </xf>
    <xf numFmtId="3" fontId="14" fillId="0" borderId="0" xfId="0" applyNumberFormat="1" applyFont="1" applyFill="1" applyAlignment="1">
      <alignment horizontal="left"/>
    </xf>
    <xf numFmtId="0" fontId="23" fillId="0" borderId="0" xfId="0" applyFont="1" applyAlignment="1">
      <alignment horizontal="left" vertical="top" wrapText="1" indent="1"/>
    </xf>
    <xf numFmtId="0" fontId="12" fillId="4" borderId="0" xfId="0" applyFont="1" applyFill="1" applyBorder="1" applyAlignment="1">
      <alignment horizontal="left" vertical="center" indent="1"/>
    </xf>
    <xf numFmtId="0" fontId="12" fillId="3" borderId="0" xfId="0" applyFont="1" applyFill="1" applyBorder="1" applyAlignment="1">
      <alignment horizontal="left" vertical="center" indent="1"/>
    </xf>
    <xf numFmtId="0" fontId="12" fillId="0" borderId="22" xfId="0" applyFont="1" applyFill="1" applyBorder="1" applyAlignment="1">
      <alignment horizontal="left" vertical="center" indent="1"/>
    </xf>
    <xf numFmtId="0" fontId="12" fillId="0" borderId="2" xfId="0" applyFont="1" applyFill="1" applyBorder="1" applyAlignment="1">
      <alignment horizontal="left" vertical="center" indent="1"/>
    </xf>
    <xf numFmtId="0" fontId="12" fillId="0" borderId="12" xfId="0" applyFont="1" applyFill="1" applyBorder="1" applyAlignment="1">
      <alignment horizontal="left" vertical="center" indent="1"/>
    </xf>
    <xf numFmtId="3" fontId="4" fillId="0" borderId="7" xfId="0" applyNumberFormat="1" applyFont="1" applyBorder="1" applyAlignment="1">
      <alignment horizontal="left" vertical="center" wrapText="1" indent="1"/>
    </xf>
    <xf numFmtId="0" fontId="4" fillId="0" borderId="7" xfId="0" applyFont="1" applyBorder="1" applyAlignment="1">
      <alignment horizontal="center" wrapText="1"/>
    </xf>
    <xf numFmtId="3" fontId="4" fillId="0" borderId="4" xfId="0" applyNumberFormat="1" applyFont="1" applyBorder="1" applyAlignment="1">
      <alignment horizontal="center" vertical="center" wrapText="1"/>
    </xf>
    <xf numFmtId="3" fontId="4" fillId="0" borderId="18" xfId="0" applyNumberFormat="1" applyFont="1" applyBorder="1" applyAlignment="1">
      <alignment horizontal="center" vertical="center" wrapText="1"/>
    </xf>
    <xf numFmtId="3" fontId="4" fillId="0" borderId="16" xfId="0" applyNumberFormat="1" applyFont="1" applyBorder="1" applyAlignment="1">
      <alignment horizontal="center" vertical="center" wrapText="1"/>
    </xf>
    <xf numFmtId="3" fontId="4" fillId="0" borderId="24" xfId="0" applyNumberFormat="1" applyFont="1" applyBorder="1" applyAlignment="1">
      <alignment horizontal="center" vertical="center" wrapText="1"/>
    </xf>
    <xf numFmtId="3" fontId="5" fillId="3" borderId="4" xfId="0" applyNumberFormat="1" applyFont="1" applyFill="1" applyBorder="1" applyAlignment="1">
      <alignment horizontal="right" vertical="center" indent="4"/>
    </xf>
    <xf numFmtId="3" fontId="5" fillId="0" borderId="4" xfId="0" applyNumberFormat="1" applyFont="1" applyBorder="1" applyAlignment="1">
      <alignment horizontal="right" vertical="center" indent="4"/>
    </xf>
    <xf numFmtId="3" fontId="5" fillId="4" borderId="4" xfId="0" applyNumberFormat="1" applyFont="1" applyFill="1" applyBorder="1" applyAlignment="1">
      <alignment horizontal="right" vertical="center" indent="4"/>
    </xf>
    <xf numFmtId="3" fontId="4" fillId="0" borderId="4" xfId="0" applyNumberFormat="1" applyFont="1" applyBorder="1" applyAlignment="1">
      <alignment horizontal="right" vertical="center" indent="4"/>
    </xf>
    <xf numFmtId="3" fontId="4" fillId="0" borderId="4" xfId="0" applyNumberFormat="1" applyFont="1" applyFill="1" applyBorder="1" applyAlignment="1">
      <alignment horizontal="right" indent="4"/>
    </xf>
    <xf numFmtId="3" fontId="4" fillId="0" borderId="4" xfId="0" applyNumberFormat="1" applyFont="1" applyFill="1" applyBorder="1" applyAlignment="1">
      <alignment horizontal="right" vertical="center" indent="4"/>
    </xf>
    <xf numFmtId="3" fontId="4" fillId="0" borderId="5" xfId="0" applyNumberFormat="1" applyFont="1" applyFill="1" applyBorder="1" applyAlignment="1">
      <alignment horizontal="right" vertical="top" indent="4"/>
    </xf>
    <xf numFmtId="3" fontId="4" fillId="0" borderId="25" xfId="0" applyNumberFormat="1" applyFont="1" applyBorder="1" applyAlignment="1">
      <alignment horizontal="center" vertical="center" wrapText="1"/>
    </xf>
    <xf numFmtId="3" fontId="5" fillId="3" borderId="26" xfId="0" applyNumberFormat="1" applyFont="1" applyFill="1" applyBorder="1" applyAlignment="1">
      <alignment horizontal="right" vertical="center" indent="4"/>
    </xf>
    <xf numFmtId="3" fontId="5" fillId="0" borderId="26" xfId="0" applyNumberFormat="1" applyFont="1" applyBorder="1" applyAlignment="1">
      <alignment horizontal="right" vertical="center" indent="4"/>
    </xf>
    <xf numFmtId="3" fontId="5" fillId="4" borderId="26" xfId="0" applyNumberFormat="1" applyFont="1" applyFill="1" applyBorder="1" applyAlignment="1">
      <alignment horizontal="right" vertical="center" indent="4"/>
    </xf>
    <xf numFmtId="3" fontId="4" fillId="0" borderId="26" xfId="0" applyNumberFormat="1" applyFont="1" applyBorder="1" applyAlignment="1">
      <alignment horizontal="right" vertical="center" indent="4"/>
    </xf>
    <xf numFmtId="3" fontId="4" fillId="0" borderId="26" xfId="0" applyNumberFormat="1" applyFont="1" applyFill="1" applyBorder="1" applyAlignment="1">
      <alignment horizontal="right" indent="4"/>
    </xf>
    <xf numFmtId="3" fontId="4" fillId="0" borderId="26" xfId="0" applyNumberFormat="1" applyFont="1" applyFill="1" applyBorder="1" applyAlignment="1">
      <alignment horizontal="right" vertical="center" indent="4"/>
    </xf>
    <xf numFmtId="3" fontId="4" fillId="0" borderId="27" xfId="0" applyNumberFormat="1" applyFont="1" applyFill="1" applyBorder="1" applyAlignment="1">
      <alignment horizontal="right" vertical="top" indent="4"/>
    </xf>
    <xf numFmtId="164" fontId="5" fillId="3" borderId="18" xfId="0" applyNumberFormat="1" applyFont="1" applyFill="1" applyBorder="1" applyAlignment="1">
      <alignment horizontal="right" vertical="center" indent="5"/>
    </xf>
    <xf numFmtId="164" fontId="5" fillId="0" borderId="18" xfId="0" applyNumberFormat="1" applyFont="1" applyBorder="1" applyAlignment="1">
      <alignment horizontal="right" vertical="center" indent="5"/>
    </xf>
    <xf numFmtId="164" fontId="5" fillId="4" borderId="18" xfId="0" applyNumberFormat="1" applyFont="1" applyFill="1" applyBorder="1" applyAlignment="1">
      <alignment horizontal="right" vertical="center" indent="5"/>
    </xf>
    <xf numFmtId="164" fontId="4" fillId="0" borderId="18" xfId="0" applyNumberFormat="1" applyFont="1" applyBorder="1" applyAlignment="1">
      <alignment horizontal="right" vertical="center" indent="5"/>
    </xf>
    <xf numFmtId="164" fontId="4" fillId="0" borderId="18" xfId="0" applyNumberFormat="1" applyFont="1" applyFill="1" applyBorder="1" applyAlignment="1">
      <alignment horizontal="right" indent="5"/>
    </xf>
    <xf numFmtId="164" fontId="4" fillId="0" borderId="18" xfId="0" applyNumberFormat="1" applyFont="1" applyFill="1" applyBorder="1" applyAlignment="1">
      <alignment horizontal="right" vertical="center" indent="5"/>
    </xf>
    <xf numFmtId="164" fontId="4" fillId="0" borderId="19" xfId="0" applyNumberFormat="1" applyFont="1" applyFill="1" applyBorder="1" applyAlignment="1">
      <alignment horizontal="right" vertical="top" indent="5"/>
    </xf>
    <xf numFmtId="14" fontId="12" fillId="0" borderId="0" xfId="0" applyNumberFormat="1" applyFont="1" applyBorder="1" applyAlignment="1">
      <alignment horizontal="left" vertical="center"/>
    </xf>
    <xf numFmtId="0" fontId="13" fillId="0" borderId="0" xfId="0" applyFont="1" applyBorder="1" applyAlignment="1">
      <alignment horizontal="left" vertical="center"/>
    </xf>
    <xf numFmtId="0" fontId="0" fillId="0" borderId="0" xfId="0" applyAlignment="1">
      <alignment vertical="top"/>
    </xf>
    <xf numFmtId="0" fontId="12" fillId="0" borderId="0" xfId="0" applyFont="1" applyBorder="1" applyAlignment="1">
      <alignment horizontal="left" vertical="center" wrapText="1"/>
    </xf>
    <xf numFmtId="0" fontId="12" fillId="0" borderId="0" xfId="0" applyFont="1" applyFill="1" applyAlignment="1">
      <alignment horizontal="right" wrapText="1" indent="1"/>
    </xf>
    <xf numFmtId="0" fontId="16" fillId="0" borderId="0" xfId="0" applyFont="1" applyFill="1" applyAlignment="1">
      <alignment horizontal="right" vertical="top" indent="1"/>
    </xf>
    <xf numFmtId="3" fontId="12" fillId="0" borderId="0" xfId="0" applyNumberFormat="1" applyFont="1" applyBorder="1" applyAlignment="1">
      <alignment vertical="top"/>
    </xf>
    <xf numFmtId="3" fontId="12" fillId="0" borderId="0" xfId="0" applyNumberFormat="1" applyFont="1" applyAlignment="1">
      <alignment vertical="top"/>
    </xf>
    <xf numFmtId="14" fontId="12" fillId="0" borderId="0" xfId="0" applyNumberFormat="1" applyFont="1" applyBorder="1" applyAlignment="1">
      <alignment horizontal="left"/>
    </xf>
    <xf numFmtId="3" fontId="12" fillId="0" borderId="0" xfId="0" applyNumberFormat="1" applyFont="1" applyBorder="1" applyAlignment="1"/>
    <xf numFmtId="3" fontId="12" fillId="0" borderId="0" xfId="0" applyNumberFormat="1" applyFont="1" applyAlignment="1">
      <alignment horizontal="right" indent="1"/>
    </xf>
    <xf numFmtId="3" fontId="16" fillId="0" borderId="0" xfId="0" applyNumberFormat="1" applyFont="1" applyAlignment="1">
      <alignment horizontal="right" vertical="top" indent="1"/>
    </xf>
    <xf numFmtId="3" fontId="12" fillId="0" borderId="0" xfId="0" quotePrefix="1" applyNumberFormat="1" applyFont="1" applyAlignment="1"/>
    <xf numFmtId="3" fontId="12" fillId="0" borderId="0" xfId="0" applyNumberFormat="1" applyFont="1" applyFill="1" applyBorder="1" applyAlignment="1">
      <alignment horizontal="right" vertical="center" indent="3"/>
    </xf>
    <xf numFmtId="1" fontId="12" fillId="4" borderId="0" xfId="0" applyNumberFormat="1" applyFont="1" applyFill="1" applyBorder="1" applyAlignment="1">
      <alignment horizontal="right" vertical="center" indent="5"/>
    </xf>
    <xf numFmtId="0" fontId="19" fillId="0" borderId="0" xfId="0" applyFont="1" applyFill="1" applyAlignment="1">
      <alignment horizontal="left" vertical="center" indent="1"/>
    </xf>
    <xf numFmtId="0" fontId="10" fillId="0" borderId="0" xfId="0" applyFont="1" applyFill="1" applyBorder="1" applyAlignment="1">
      <alignment horizontal="right" vertical="center" indent="1"/>
    </xf>
    <xf numFmtId="0" fontId="10" fillId="0" borderId="0" xfId="0" applyFont="1" applyBorder="1" applyAlignment="1">
      <alignment horizontal="left" vertical="center" indent="1"/>
    </xf>
    <xf numFmtId="3" fontId="4" fillId="4" borderId="0" xfId="0" applyNumberFormat="1" applyFont="1" applyFill="1" applyAlignment="1">
      <alignment horizontal="left" vertical="center" indent="1"/>
    </xf>
    <xf numFmtId="0" fontId="10" fillId="4" borderId="0" xfId="0" applyFont="1" applyFill="1" applyBorder="1" applyAlignment="1">
      <alignment horizontal="left" vertical="center" indent="1"/>
    </xf>
    <xf numFmtId="3" fontId="5" fillId="0" borderId="0" xfId="1" applyNumberFormat="1" applyFont="1" applyFill="1" applyAlignment="1">
      <alignment horizontal="left" vertical="top" wrapText="1" indent="1"/>
    </xf>
    <xf numFmtId="0" fontId="5" fillId="0" borderId="0" xfId="1" applyFont="1" applyFill="1" applyAlignment="1">
      <alignment horizontal="left" vertical="top" wrapText="1" indent="1"/>
    </xf>
    <xf numFmtId="0" fontId="0" fillId="0" borderId="0" xfId="0" applyBorder="1" applyAlignment="1">
      <alignment horizontal="left" vertical="top" wrapText="1"/>
    </xf>
    <xf numFmtId="0" fontId="12" fillId="0" borderId="0" xfId="0" applyNumberFormat="1" applyFont="1" applyFill="1" applyAlignment="1">
      <alignment horizontal="left" wrapText="1"/>
    </xf>
    <xf numFmtId="0" fontId="0" fillId="0" borderId="0" xfId="0" applyAlignment="1">
      <alignment horizontal="left" wrapText="1"/>
    </xf>
    <xf numFmtId="0" fontId="3" fillId="0" borderId="0" xfId="0" applyFont="1" applyFill="1" applyAlignment="1">
      <alignment horizontal="right" wrapText="1" indent="1"/>
    </xf>
    <xf numFmtId="0" fontId="0" fillId="0" borderId="4" xfId="0" applyBorder="1" applyAlignment="1">
      <alignment horizontal="left" vertical="center" wrapText="1" indent="1"/>
    </xf>
    <xf numFmtId="0" fontId="0" fillId="0" borderId="0" xfId="0" applyBorder="1" applyAlignment="1">
      <alignment horizontal="left" vertical="center" wrapText="1" indent="1"/>
    </xf>
    <xf numFmtId="3" fontId="4" fillId="0" borderId="0" xfId="0" applyNumberFormat="1" applyFont="1" applyFill="1" applyAlignment="1">
      <alignment horizontal="left" vertical="center" wrapText="1" indent="1"/>
    </xf>
    <xf numFmtId="0" fontId="19" fillId="0" borderId="0" xfId="0" applyFont="1" applyFill="1" applyAlignment="1">
      <alignment horizontal="left" vertical="center" wrapText="1" indent="1"/>
    </xf>
    <xf numFmtId="3" fontId="5" fillId="0" borderId="0" xfId="1" applyNumberFormat="1" applyFont="1" applyFill="1" applyAlignment="1">
      <alignment horizontal="left" vertical="top" wrapText="1"/>
    </xf>
    <xf numFmtId="0" fontId="5" fillId="0" borderId="0" xfId="1" applyFont="1" applyFill="1" applyAlignment="1">
      <alignment horizontal="left" vertical="top" wrapText="1"/>
    </xf>
    <xf numFmtId="3" fontId="22" fillId="0" borderId="0" xfId="0" applyNumberFormat="1" applyFont="1" applyFill="1" applyAlignment="1">
      <alignment horizontal="left" wrapText="1" indent="1"/>
    </xf>
    <xf numFmtId="0" fontId="23" fillId="0" borderId="0" xfId="0" applyFont="1" applyFill="1" applyAlignment="1">
      <alignment horizontal="left" wrapText="1" indent="1"/>
    </xf>
    <xf numFmtId="0" fontId="23" fillId="0" borderId="0" xfId="0" applyFont="1" applyAlignment="1">
      <alignment horizontal="left" wrapText="1" indent="1"/>
    </xf>
    <xf numFmtId="0" fontId="0" fillId="0" borderId="0" xfId="0" applyAlignment="1">
      <alignment horizontal="left" wrapText="1" indent="1"/>
    </xf>
    <xf numFmtId="3" fontId="5" fillId="0" borderId="0" xfId="1" applyNumberFormat="1" applyFill="1" applyAlignment="1">
      <alignment horizontal="left" vertical="top" wrapText="1" indent="1"/>
    </xf>
    <xf numFmtId="0" fontId="5" fillId="0" borderId="0" xfId="1" applyAlignment="1">
      <alignment horizontal="left" vertical="top" wrapText="1" indent="1"/>
    </xf>
    <xf numFmtId="0" fontId="5" fillId="0" borderId="0" xfId="1" applyFill="1" applyAlignment="1">
      <alignment horizontal="left" vertical="top" wrapText="1" indent="1"/>
    </xf>
    <xf numFmtId="0" fontId="5" fillId="0" borderId="3" xfId="0" applyFont="1" applyFill="1" applyBorder="1" applyAlignment="1">
      <alignment horizontal="left" vertical="center" wrapText="1" indent="1"/>
    </xf>
    <xf numFmtId="0" fontId="0" fillId="0" borderId="8" xfId="0" applyBorder="1" applyAlignment="1">
      <alignment horizontal="left" vertical="center" wrapText="1" indent="1"/>
    </xf>
    <xf numFmtId="0" fontId="0" fillId="0" borderId="6" xfId="0" applyBorder="1" applyAlignment="1">
      <alignment horizontal="left" vertical="top" wrapText="1"/>
    </xf>
    <xf numFmtId="3" fontId="5" fillId="0" borderId="0" xfId="1" applyNumberFormat="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0" xfId="0" applyFont="1" applyFill="1" applyAlignment="1">
      <alignment horizontal="left" vertical="top" wrapText="1"/>
    </xf>
    <xf numFmtId="3" fontId="22" fillId="0" borderId="0" xfId="0" applyNumberFormat="1" applyFont="1" applyAlignment="1">
      <alignment horizontal="left" vertical="center" wrapText="1" indent="1"/>
    </xf>
    <xf numFmtId="0" fontId="22" fillId="0" borderId="0" xfId="0" applyFont="1" applyAlignment="1">
      <alignment horizontal="left" vertical="center" wrapText="1" indent="1"/>
    </xf>
    <xf numFmtId="3" fontId="12" fillId="0" borderId="2" xfId="0" applyNumberFormat="1" applyFont="1" applyBorder="1" applyAlignment="1">
      <alignment horizontal="right" vertical="center" indent="1"/>
    </xf>
    <xf numFmtId="0" fontId="13" fillId="0" borderId="2" xfId="0" applyFont="1" applyBorder="1" applyAlignment="1">
      <alignment horizontal="right" vertical="center" indent="1"/>
    </xf>
    <xf numFmtId="0" fontId="0" fillId="0" borderId="0" xfId="0" applyAlignment="1">
      <alignment vertical="top" wrapText="1"/>
    </xf>
    <xf numFmtId="0" fontId="2" fillId="0" borderId="0" xfId="0" applyFont="1" applyBorder="1" applyAlignment="1">
      <alignment horizontal="left" vertical="top" wrapText="1"/>
    </xf>
    <xf numFmtId="0" fontId="0" fillId="0" borderId="0" xfId="0" applyAlignment="1">
      <alignment vertical="top"/>
    </xf>
    <xf numFmtId="0" fontId="20" fillId="0" borderId="0" xfId="0" applyFont="1" applyAlignment="1">
      <alignment horizontal="left" vertical="center" wrapText="1" indent="1"/>
    </xf>
    <xf numFmtId="3" fontId="5" fillId="0" borderId="0" xfId="0" applyNumberFormat="1" applyFont="1" applyBorder="1" applyAlignment="1">
      <alignment horizontal="left" vertical="top" wrapText="1"/>
    </xf>
    <xf numFmtId="3" fontId="4" fillId="0" borderId="9" xfId="0" applyNumberFormat="1" applyFont="1" applyBorder="1" applyAlignment="1">
      <alignment horizontal="center" vertical="center" wrapText="1"/>
    </xf>
    <xf numFmtId="0" fontId="0" fillId="0" borderId="23" xfId="0" applyBorder="1" applyAlignment="1">
      <alignment horizontal="center" vertical="center" wrapText="1"/>
    </xf>
    <xf numFmtId="3" fontId="4" fillId="0" borderId="17" xfId="0" applyNumberFormat="1" applyFont="1" applyBorder="1" applyAlignment="1">
      <alignment horizontal="left" vertical="center" wrapText="1" indent="1"/>
    </xf>
    <xf numFmtId="0" fontId="0" fillId="0" borderId="0" xfId="0" applyAlignment="1">
      <alignment horizontal="left" vertical="center" wrapText="1" indent="1"/>
    </xf>
    <xf numFmtId="3" fontId="4" fillId="0" borderId="28" xfId="0" applyNumberFormat="1" applyFont="1" applyBorder="1" applyAlignment="1">
      <alignment horizontal="center" vertical="center" wrapText="1"/>
    </xf>
    <xf numFmtId="0" fontId="0" fillId="0" borderId="26" xfId="0" applyBorder="1" applyAlignment="1">
      <alignment horizontal="center" vertical="center" wrapText="1"/>
    </xf>
    <xf numFmtId="0" fontId="4" fillId="0" borderId="17" xfId="0" applyFont="1" applyBorder="1" applyAlignment="1">
      <alignment horizontal="center" vertical="center" wrapText="1"/>
    </xf>
    <xf numFmtId="0" fontId="0" fillId="0" borderId="0" xfId="0" applyAlignment="1">
      <alignment horizontal="center" vertical="center" wrapText="1"/>
    </xf>
    <xf numFmtId="3" fontId="12" fillId="0" borderId="0" xfId="0" quotePrefix="1" applyNumberFormat="1" applyFont="1" applyAlignment="1"/>
    <xf numFmtId="0" fontId="0" fillId="0" borderId="0" xfId="0" applyAlignment="1"/>
    <xf numFmtId="3" fontId="22" fillId="4" borderId="0" xfId="0" applyNumberFormat="1" applyFont="1" applyFill="1" applyAlignment="1">
      <alignment horizontal="left" vertical="center" wrapText="1" indent="1"/>
    </xf>
    <xf numFmtId="0" fontId="23" fillId="0" borderId="0" xfId="0" applyFont="1" applyAlignment="1">
      <alignment horizontal="left" vertical="center" wrapText="1"/>
    </xf>
    <xf numFmtId="3" fontId="12" fillId="0" borderId="0" xfId="0" applyNumberFormat="1" applyFont="1" applyFill="1" applyAlignment="1">
      <alignment horizontal="right" vertical="center" indent="1"/>
    </xf>
    <xf numFmtId="0" fontId="0" fillId="0" borderId="0" xfId="0" applyFill="1" applyAlignment="1">
      <alignment horizontal="right" vertical="center" indent="1"/>
    </xf>
    <xf numFmtId="3" fontId="14" fillId="4" borderId="17" xfId="0" applyNumberFormat="1" applyFont="1" applyFill="1" applyBorder="1" applyAlignment="1">
      <alignment horizontal="left" vertical="center" indent="1"/>
    </xf>
    <xf numFmtId="0" fontId="0" fillId="0" borderId="6" xfId="0" applyBorder="1" applyAlignment="1">
      <alignment horizontal="left" vertical="center" indent="1"/>
    </xf>
    <xf numFmtId="1" fontId="4" fillId="4" borderId="29" xfId="0" applyNumberFormat="1" applyFont="1" applyFill="1" applyBorder="1" applyAlignment="1" applyProtection="1">
      <alignment horizontal="center" vertical="center"/>
      <protection locked="0"/>
    </xf>
    <xf numFmtId="0" fontId="0" fillId="0" borderId="10" xfId="0" applyBorder="1" applyAlignment="1">
      <alignment horizontal="center" vertical="center"/>
    </xf>
    <xf numFmtId="3" fontId="4" fillId="4" borderId="17" xfId="0"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3" fontId="4" fillId="0" borderId="17" xfId="0" applyNumberFormat="1" applyFont="1" applyFill="1" applyBorder="1" applyAlignment="1" applyProtection="1">
      <alignment horizontal="center" vertical="center"/>
      <protection locked="0"/>
    </xf>
    <xf numFmtId="0" fontId="0" fillId="0" borderId="6" xfId="0" applyFill="1" applyBorder="1" applyAlignment="1">
      <alignment horizontal="center" vertical="center"/>
    </xf>
    <xf numFmtId="3" fontId="4" fillId="0" borderId="30" xfId="0" applyNumberFormat="1" applyFont="1" applyFill="1" applyBorder="1" applyAlignment="1" applyProtection="1">
      <alignment horizontal="center" vertical="center" wrapText="1"/>
      <protection locked="0"/>
    </xf>
    <xf numFmtId="0" fontId="0" fillId="0" borderId="31" xfId="0" applyFill="1" applyBorder="1" applyAlignment="1">
      <alignment horizontal="center" vertical="center" wrapText="1"/>
    </xf>
    <xf numFmtId="0" fontId="14" fillId="0" borderId="29" xfId="0" applyFont="1" applyFill="1" applyBorder="1" applyAlignment="1">
      <alignment horizontal="center" vertical="center"/>
    </xf>
    <xf numFmtId="0" fontId="0" fillId="0" borderId="17" xfId="0" applyFill="1"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3" fontId="4" fillId="4" borderId="9"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 fillId="4" borderId="0" xfId="0" applyFont="1" applyFill="1" applyAlignment="1">
      <alignment horizontal="left" vertical="top" wrapText="1"/>
    </xf>
    <xf numFmtId="0" fontId="0" fillId="0" borderId="0" xfId="0" applyAlignment="1">
      <alignment wrapText="1"/>
    </xf>
    <xf numFmtId="0" fontId="5" fillId="0" borderId="0" xfId="0" applyFont="1" applyFill="1" applyBorder="1" applyAlignment="1">
      <alignment vertical="top" wrapText="1"/>
    </xf>
    <xf numFmtId="3" fontId="12" fillId="4" borderId="2" xfId="0" applyNumberFormat="1" applyFont="1" applyFill="1" applyBorder="1" applyAlignment="1">
      <alignment horizontal="right" vertical="center" indent="1"/>
    </xf>
    <xf numFmtId="0" fontId="0" fillId="0" borderId="2" xfId="0" applyBorder="1" applyAlignment="1">
      <alignment horizontal="right" vertical="center" indent="1"/>
    </xf>
    <xf numFmtId="3" fontId="22" fillId="4" borderId="0" xfId="0" applyNumberFormat="1" applyFont="1" applyFill="1" applyAlignment="1">
      <alignment horizontal="left" vertical="center" indent="1"/>
    </xf>
    <xf numFmtId="0" fontId="23" fillId="0" borderId="0" xfId="0" applyFont="1" applyAlignment="1">
      <alignment horizontal="left" vertical="center" indent="1"/>
    </xf>
    <xf numFmtId="0" fontId="23" fillId="0" borderId="0" xfId="0" applyFont="1" applyAlignment="1">
      <alignment horizontal="left" vertical="center" wrapText="1" indent="1"/>
    </xf>
    <xf numFmtId="0" fontId="12" fillId="0" borderId="0" xfId="0" applyFont="1" applyBorder="1" applyAlignment="1">
      <alignment horizontal="left" vertical="top" wrapText="1"/>
    </xf>
    <xf numFmtId="3" fontId="12" fillId="0" borderId="2" xfId="0" applyNumberFormat="1" applyFont="1" applyFill="1" applyBorder="1" applyAlignment="1">
      <alignment horizontal="right" vertical="center" indent="1"/>
    </xf>
    <xf numFmtId="0" fontId="0" fillId="0" borderId="2" xfId="0" applyFill="1" applyBorder="1" applyAlignment="1">
      <alignment horizontal="right" vertical="center" indent="1"/>
    </xf>
    <xf numFmtId="3" fontId="22" fillId="0" borderId="0" xfId="0" applyNumberFormat="1" applyFont="1" applyFill="1" applyBorder="1" applyAlignment="1">
      <alignment horizontal="left" vertical="center" wrapText="1" indent="1"/>
    </xf>
    <xf numFmtId="0" fontId="23" fillId="0" borderId="0" xfId="0" applyFont="1" applyFill="1" applyBorder="1" applyAlignment="1">
      <alignment horizontal="left" vertical="center" wrapText="1" indent="1"/>
    </xf>
    <xf numFmtId="3" fontId="12" fillId="0" borderId="2" xfId="0" applyNumberFormat="1" applyFont="1" applyFill="1" applyBorder="1" applyAlignment="1">
      <alignment horizontal="right" vertical="center"/>
    </xf>
    <xf numFmtId="0" fontId="0" fillId="0" borderId="2" xfId="0" applyFill="1" applyBorder="1" applyAlignment="1">
      <alignment horizontal="right" vertical="center"/>
    </xf>
    <xf numFmtId="0" fontId="0" fillId="0" borderId="2" xfId="0" applyBorder="1" applyAlignment="1">
      <alignment horizontal="right" vertical="center"/>
    </xf>
    <xf numFmtId="0" fontId="0" fillId="0" borderId="2" xfId="0" applyBorder="1" applyAlignment="1">
      <alignment vertical="center"/>
    </xf>
    <xf numFmtId="3" fontId="22" fillId="0" borderId="0" xfId="0" applyNumberFormat="1" applyFont="1" applyFill="1" applyAlignment="1">
      <alignment horizontal="left" vertical="center" wrapText="1"/>
    </xf>
    <xf numFmtId="0" fontId="23" fillId="0" borderId="0" xfId="0" applyFont="1" applyFill="1" applyAlignment="1">
      <alignment horizontal="left" vertical="center" wrapText="1"/>
    </xf>
    <xf numFmtId="0" fontId="23" fillId="0" borderId="0" xfId="0" applyFont="1" applyFill="1" applyAlignment="1">
      <alignment vertical="center" wrapText="1"/>
    </xf>
    <xf numFmtId="0" fontId="0" fillId="0" borderId="0" xfId="0" applyAlignment="1">
      <alignment vertical="center" wrapText="1"/>
    </xf>
    <xf numFmtId="0" fontId="12" fillId="4" borderId="0" xfId="0" applyFont="1" applyFill="1" applyAlignment="1">
      <alignment horizontal="left" vertical="top" wrapText="1"/>
    </xf>
    <xf numFmtId="3" fontId="12"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0" fontId="1" fillId="0" borderId="0" xfId="0" applyFont="1" applyBorder="1" applyAlignment="1">
      <alignment horizontal="left" vertical="top" wrapText="1"/>
    </xf>
    <xf numFmtId="0" fontId="12" fillId="0" borderId="0" xfId="0" applyFont="1" applyAlignment="1">
      <alignment horizontal="left" vertical="top" wrapText="1"/>
    </xf>
    <xf numFmtId="0" fontId="0" fillId="0" borderId="0" xfId="0" applyAlignment="1">
      <alignment horizontal="left"/>
    </xf>
    <xf numFmtId="3" fontId="22" fillId="0" borderId="0" xfId="0" applyNumberFormat="1" applyFont="1" applyFill="1" applyAlignment="1">
      <alignment horizontal="left" vertical="center" wrapText="1" indent="1"/>
    </xf>
    <xf numFmtId="0" fontId="23" fillId="0" borderId="0" xfId="0" applyFont="1" applyFill="1" applyAlignment="1">
      <alignment horizontal="left" vertical="center" wrapText="1" indent="1"/>
    </xf>
    <xf numFmtId="3" fontId="12" fillId="0" borderId="0" xfId="0" applyNumberFormat="1" applyFont="1" applyFill="1" applyBorder="1" applyAlignment="1">
      <alignment horizontal="left" vertical="center" wrapText="1" indent="1"/>
    </xf>
    <xf numFmtId="0" fontId="0" fillId="0" borderId="0" xfId="0" applyFill="1" applyAlignment="1">
      <alignment horizontal="left" vertical="center" wrapText="1" indent="1"/>
    </xf>
    <xf numFmtId="0" fontId="12" fillId="0" borderId="0" xfId="0" applyFont="1" applyFill="1" applyAlignment="1">
      <alignment horizontal="right" vertical="center" wrapText="1" indent="1"/>
    </xf>
    <xf numFmtId="0" fontId="12" fillId="0" borderId="0" xfId="0" applyFont="1" applyFill="1" applyAlignment="1">
      <alignment horizontal="right" vertical="center" indent="1"/>
    </xf>
    <xf numFmtId="0" fontId="12" fillId="0" borderId="0" xfId="0" applyFont="1" applyFill="1" applyBorder="1" applyAlignment="1">
      <alignment horizontal="left" vertical="top" wrapText="1"/>
    </xf>
    <xf numFmtId="3" fontId="12" fillId="0" borderId="0" xfId="0" applyNumberFormat="1" applyFont="1" applyFill="1" applyBorder="1" applyAlignment="1">
      <alignment horizontal="right" vertical="center" wrapText="1" indent="1"/>
    </xf>
    <xf numFmtId="0" fontId="0" fillId="0" borderId="0" xfId="0" applyFill="1" applyAlignment="1">
      <alignment horizontal="right" vertical="center" wrapText="1" indent="1"/>
    </xf>
    <xf numFmtId="0" fontId="23" fillId="4" borderId="0" xfId="0" applyFont="1" applyFill="1" applyAlignment="1">
      <alignment horizontal="left" vertical="center" wrapText="1" indent="1"/>
    </xf>
    <xf numFmtId="3" fontId="12" fillId="4" borderId="0" xfId="0" applyNumberFormat="1" applyFont="1" applyFill="1" applyBorder="1" applyAlignment="1">
      <alignment horizontal="right" vertical="center" wrapText="1" indent="1"/>
    </xf>
    <xf numFmtId="0" fontId="0" fillId="4" borderId="0" xfId="0" applyFill="1" applyAlignment="1">
      <alignment horizontal="right" vertical="center" wrapText="1" indent="1"/>
    </xf>
    <xf numFmtId="0" fontId="12" fillId="0" borderId="0" xfId="0" applyFont="1" applyFill="1" applyAlignment="1">
      <alignment horizontal="left" vertical="top" wrapText="1"/>
    </xf>
    <xf numFmtId="0" fontId="5" fillId="0" borderId="0" xfId="0" applyFont="1" applyFill="1" applyAlignment="1">
      <alignment horizontal="left" vertical="center" wrapText="1" indent="1"/>
    </xf>
    <xf numFmtId="0" fontId="12" fillId="0" borderId="0" xfId="0" applyFont="1" applyFill="1" applyAlignment="1">
      <alignment horizontal="left" vertical="center" wrapText="1" indent="1"/>
    </xf>
    <xf numFmtId="0" fontId="21" fillId="0" borderId="0" xfId="0" applyFont="1" applyFill="1" applyAlignment="1">
      <alignment horizontal="left" wrapText="1" indent="1"/>
    </xf>
    <xf numFmtId="0" fontId="24" fillId="0" borderId="0" xfId="0" applyFont="1" applyFill="1" applyAlignment="1">
      <alignment horizontal="left" wrapText="1" indent="1"/>
    </xf>
    <xf numFmtId="0" fontId="12" fillId="0" borderId="0" xfId="0" applyFont="1" applyFill="1" applyAlignment="1">
      <alignment horizontal="left" vertical="center" wrapText="1"/>
    </xf>
    <xf numFmtId="0" fontId="0" fillId="0" borderId="0" xfId="0" applyFill="1" applyAlignment="1">
      <alignment horizontal="left" vertical="center" wrapText="1"/>
    </xf>
    <xf numFmtId="0" fontId="25" fillId="0" borderId="0" xfId="0" applyFont="1" applyFill="1" applyAlignment="1">
      <alignment horizontal="left" wrapText="1" indent="1"/>
    </xf>
    <xf numFmtId="0" fontId="12" fillId="0" borderId="0" xfId="0" applyNumberFormat="1" applyFont="1" applyFill="1" applyAlignment="1">
      <alignment horizontal="left" wrapText="1"/>
    </xf>
    <xf numFmtId="0" fontId="0" fillId="0" borderId="0" xfId="0" applyAlignment="1">
      <alignment horizontal="left" wrapText="1"/>
    </xf>
    <xf numFmtId="0" fontId="0" fillId="0" borderId="0" xfId="0" applyBorder="1" applyAlignment="1">
      <alignment horizontal="left" vertical="top" wrapText="1"/>
    </xf>
    <xf numFmtId="0" fontId="21" fillId="0" borderId="0" xfId="0" applyFont="1" applyFill="1" applyAlignment="1">
      <alignment horizontal="left" vertical="center" wrapText="1" indent="1"/>
    </xf>
    <xf numFmtId="0" fontId="24" fillId="0" borderId="0" xfId="0" applyFont="1" applyFill="1" applyAlignment="1">
      <alignment horizontal="left" vertical="center" wrapText="1" indent="1"/>
    </xf>
    <xf numFmtId="3" fontId="5" fillId="0" borderId="0" xfId="1" applyNumberFormat="1" applyFill="1" applyBorder="1" applyAlignment="1">
      <alignment horizontal="left" vertical="top" wrapText="1"/>
    </xf>
    <xf numFmtId="0" fontId="1" fillId="0" borderId="0" xfId="0" applyFont="1" applyFill="1" applyAlignment="1">
      <alignment horizontal="left" vertical="center" wrapText="1" indent="1"/>
    </xf>
    <xf numFmtId="3" fontId="5" fillId="0" borderId="0" xfId="1" applyNumberFormat="1" applyAlignment="1">
      <alignment vertical="top" wrapText="1"/>
    </xf>
    <xf numFmtId="3" fontId="5" fillId="0" borderId="6" xfId="1" applyNumberFormat="1" applyFill="1" applyBorder="1" applyAlignment="1">
      <alignment horizontal="left" vertical="top" wrapText="1"/>
    </xf>
  </cellXfs>
  <cellStyles count="4">
    <cellStyle name="Followed Hyperlink" xfId="3" builtinId="9" customBuiltin="1"/>
    <cellStyle name="Hyperlink" xfId="1" builtinId="8" customBuiltin="1"/>
    <cellStyle name="Normal" xfId="0" builtinId="0"/>
    <cellStyle name="Normal 5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cat>
            <c:strRef>
              <c:f>'Quadro 2'!$B$5:$B$14</c:f>
              <c:strCache>
                <c:ptCount val="10"/>
                <c:pt idx="0">
                  <c:v>França</c:v>
                </c:pt>
                <c:pt idx="1">
                  <c:v>Suíça</c:v>
                </c:pt>
                <c:pt idx="2">
                  <c:v>Angola</c:v>
                </c:pt>
                <c:pt idx="3">
                  <c:v>Alemanha</c:v>
                </c:pt>
                <c:pt idx="4">
                  <c:v>Espanha</c:v>
                </c:pt>
                <c:pt idx="5">
                  <c:v>Reino Unido</c:v>
                </c:pt>
                <c:pt idx="6">
                  <c:v>EUA</c:v>
                </c:pt>
                <c:pt idx="7">
                  <c:v>Luxemburgo</c:v>
                </c:pt>
                <c:pt idx="8">
                  <c:v>Bélgica</c:v>
                </c:pt>
                <c:pt idx="9">
                  <c:v>Holanda</c:v>
                </c:pt>
              </c:strCache>
            </c:strRef>
          </c:cat>
          <c:val>
            <c:numRef>
              <c:f>'Quadro 2'!$C$5:$C$14</c:f>
              <c:numCache>
                <c:formatCode>#,##0</c:formatCode>
                <c:ptCount val="10"/>
                <c:pt idx="0">
                  <c:v>894932</c:v>
                </c:pt>
                <c:pt idx="1">
                  <c:v>738128</c:v>
                </c:pt>
                <c:pt idx="2">
                  <c:v>304328</c:v>
                </c:pt>
                <c:pt idx="3">
                  <c:v>197247</c:v>
                </c:pt>
                <c:pt idx="4">
                  <c:v>156697</c:v>
                </c:pt>
                <c:pt idx="5">
                  <c:v>156227</c:v>
                </c:pt>
                <c:pt idx="6">
                  <c:v>140320</c:v>
                </c:pt>
                <c:pt idx="7">
                  <c:v>86937</c:v>
                </c:pt>
                <c:pt idx="8">
                  <c:v>67205</c:v>
                </c:pt>
                <c:pt idx="9">
                  <c:v>61053</c:v>
                </c:pt>
              </c:numCache>
            </c:numRef>
          </c:val>
          <c:extLst>
            <c:ext xmlns:c16="http://schemas.microsoft.com/office/drawing/2014/chart" uri="{C3380CC4-5D6E-409C-BE32-E72D297353CC}">
              <c16:uniqueId val="{00000000-FDF9-4690-812C-136256695AEB}"/>
            </c:ext>
          </c:extLst>
        </c:ser>
        <c:dLbls>
          <c:showLegendKey val="0"/>
          <c:showVal val="0"/>
          <c:showCatName val="0"/>
          <c:showSerName val="0"/>
          <c:showPercent val="0"/>
          <c:showBubbleSize val="0"/>
        </c:dLbls>
        <c:gapWidth val="50"/>
        <c:axId val="160507904"/>
        <c:axId val="172930688"/>
      </c:barChart>
      <c:catAx>
        <c:axId val="160507904"/>
        <c:scaling>
          <c:orientation val="maxMin"/>
        </c:scaling>
        <c:delete val="0"/>
        <c:axPos val="l"/>
        <c:numFmt formatCode="General" sourceLinked="1"/>
        <c:majorTickMark val="none"/>
        <c:minorTickMark val="none"/>
        <c:tickLblPos val="nextTo"/>
        <c:spPr>
          <a:ln w="12700">
            <a:solidFill>
              <a:schemeClr val="tx1"/>
            </a:solidFill>
          </a:ln>
        </c:spPr>
        <c:crossAx val="172930688"/>
        <c:crosses val="autoZero"/>
        <c:auto val="1"/>
        <c:lblAlgn val="ctr"/>
        <c:lblOffset val="100"/>
        <c:noMultiLvlLbl val="0"/>
      </c:catAx>
      <c:valAx>
        <c:axId val="172930688"/>
        <c:scaling>
          <c:orientation val="minMax"/>
          <c:max val="9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160507904"/>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a:noFill/>
            </a:ln>
          </c:spPr>
          <c:invertIfNegative val="0"/>
          <c:cat>
            <c:strRef>
              <c:f>'Quadro 3'!$B$5:$B$14</c:f>
              <c:strCache>
                <c:ptCount val="10"/>
                <c:pt idx="0">
                  <c:v>Brasil</c:v>
                </c:pt>
                <c:pt idx="1">
                  <c:v>China</c:v>
                </c:pt>
                <c:pt idx="2">
                  <c:v>Ucrânia</c:v>
                </c:pt>
                <c:pt idx="3">
                  <c:v>França</c:v>
                </c:pt>
                <c:pt idx="4">
                  <c:v>Angola</c:v>
                </c:pt>
                <c:pt idx="5">
                  <c:v>Roménia</c:v>
                </c:pt>
                <c:pt idx="6">
                  <c:v>Espanha</c:v>
                </c:pt>
                <c:pt idx="7">
                  <c:v>Cabo Verde</c:v>
                </c:pt>
                <c:pt idx="8">
                  <c:v>Moçambique</c:v>
                </c:pt>
                <c:pt idx="9">
                  <c:v>EUA</c:v>
                </c:pt>
              </c:strCache>
            </c:strRef>
          </c:cat>
          <c:val>
            <c:numRef>
              <c:f>'Quadro 3'!$C$5:$C$14</c:f>
              <c:numCache>
                <c:formatCode>#,##0</c:formatCode>
                <c:ptCount val="10"/>
                <c:pt idx="0">
                  <c:v>253250</c:v>
                </c:pt>
                <c:pt idx="1">
                  <c:v>78204</c:v>
                </c:pt>
                <c:pt idx="2">
                  <c:v>31321</c:v>
                </c:pt>
                <c:pt idx="3">
                  <c:v>20145</c:v>
                </c:pt>
                <c:pt idx="4">
                  <c:v>18847</c:v>
                </c:pt>
                <c:pt idx="5">
                  <c:v>15764</c:v>
                </c:pt>
                <c:pt idx="6">
                  <c:v>15237</c:v>
                </c:pt>
                <c:pt idx="7">
                  <c:v>13130</c:v>
                </c:pt>
                <c:pt idx="8">
                  <c:v>10015</c:v>
                </c:pt>
                <c:pt idx="9">
                  <c:v>7139</c:v>
                </c:pt>
              </c:numCache>
            </c:numRef>
          </c:val>
          <c:extLst>
            <c:ext xmlns:c16="http://schemas.microsoft.com/office/drawing/2014/chart" uri="{C3380CC4-5D6E-409C-BE32-E72D297353CC}">
              <c16:uniqueId val="{00000000-32B7-4AAA-9BEF-C99F272B89A1}"/>
            </c:ext>
          </c:extLst>
        </c:ser>
        <c:dLbls>
          <c:showLegendKey val="0"/>
          <c:showVal val="0"/>
          <c:showCatName val="0"/>
          <c:showSerName val="0"/>
          <c:showPercent val="0"/>
          <c:showBubbleSize val="0"/>
        </c:dLbls>
        <c:gapWidth val="50"/>
        <c:axId val="160141312"/>
        <c:axId val="160563200"/>
      </c:barChart>
      <c:catAx>
        <c:axId val="160141312"/>
        <c:scaling>
          <c:orientation val="maxMin"/>
        </c:scaling>
        <c:delete val="0"/>
        <c:axPos val="l"/>
        <c:numFmt formatCode="General" sourceLinked="1"/>
        <c:majorTickMark val="none"/>
        <c:minorTickMark val="none"/>
        <c:tickLblPos val="nextTo"/>
        <c:spPr>
          <a:ln w="12700">
            <a:solidFill>
              <a:schemeClr val="tx1"/>
            </a:solidFill>
          </a:ln>
        </c:spPr>
        <c:crossAx val="160563200"/>
        <c:crosses val="autoZero"/>
        <c:auto val="1"/>
        <c:lblAlgn val="ctr"/>
        <c:lblOffset val="100"/>
        <c:noMultiLvlLbl val="0"/>
      </c:catAx>
      <c:valAx>
        <c:axId val="160563200"/>
        <c:scaling>
          <c:orientation val="minMax"/>
        </c:scaling>
        <c:delete val="0"/>
        <c:axPos val="b"/>
        <c:majorGridlines>
          <c:spPr>
            <a:ln w="15875">
              <a:solidFill>
                <a:schemeClr val="bg1"/>
              </a:solidFill>
            </a:ln>
          </c:spPr>
        </c:majorGridlines>
        <c:numFmt formatCode="#,##0" sourceLinked="1"/>
        <c:majorTickMark val="out"/>
        <c:minorTickMark val="none"/>
        <c:tickLblPos val="nextTo"/>
        <c:spPr>
          <a:ln>
            <a:noFill/>
          </a:ln>
        </c:spPr>
        <c:crossAx val="160141312"/>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a:noFill/>
            </a:ln>
          </c:spPr>
          <c:invertIfNegative val="0"/>
          <c:dPt>
            <c:idx val="10"/>
            <c:invertIfNegative val="0"/>
            <c:bubble3D val="0"/>
            <c:spPr>
              <a:solidFill>
                <a:srgbClr val="C00000"/>
              </a:solidFill>
              <a:ln>
                <a:noFill/>
              </a:ln>
            </c:spPr>
            <c:extLst>
              <c:ext xmlns:c16="http://schemas.microsoft.com/office/drawing/2014/chart" uri="{C3380CC4-5D6E-409C-BE32-E72D297353CC}">
                <c16:uniqueId val="{00000001-1135-4A4A-80FE-9865787AFBAE}"/>
              </c:ext>
            </c:extLst>
          </c:dPt>
          <c:dPt>
            <c:idx val="11"/>
            <c:invertIfNegative val="0"/>
            <c:bubble3D val="0"/>
            <c:spPr>
              <a:solidFill>
                <a:srgbClr val="C00000"/>
              </a:solidFill>
              <a:ln>
                <a:noFill/>
              </a:ln>
            </c:spPr>
            <c:extLst>
              <c:ext xmlns:c16="http://schemas.microsoft.com/office/drawing/2014/chart" uri="{C3380CC4-5D6E-409C-BE32-E72D297353CC}">
                <c16:uniqueId val="{00000003-1135-4A4A-80FE-9865787AFBAE}"/>
              </c:ext>
            </c:extLst>
          </c:dPt>
          <c:dPt>
            <c:idx val="12"/>
            <c:invertIfNegative val="0"/>
            <c:bubble3D val="0"/>
            <c:spPr>
              <a:solidFill>
                <a:srgbClr val="C00000"/>
              </a:solidFill>
              <a:ln>
                <a:noFill/>
              </a:ln>
            </c:spPr>
            <c:extLst>
              <c:ext xmlns:c16="http://schemas.microsoft.com/office/drawing/2014/chart" uri="{C3380CC4-5D6E-409C-BE32-E72D297353CC}">
                <c16:uniqueId val="{00000005-1135-4A4A-80FE-9865787AFBAE}"/>
              </c:ext>
            </c:extLst>
          </c:dPt>
          <c:dPt>
            <c:idx val="13"/>
            <c:invertIfNegative val="0"/>
            <c:bubble3D val="0"/>
            <c:spPr>
              <a:solidFill>
                <a:srgbClr val="C00000"/>
              </a:solidFill>
              <a:ln>
                <a:noFill/>
              </a:ln>
            </c:spPr>
            <c:extLst>
              <c:ext xmlns:c16="http://schemas.microsoft.com/office/drawing/2014/chart" uri="{C3380CC4-5D6E-409C-BE32-E72D297353CC}">
                <c16:uniqueId val="{00000007-1135-4A4A-80FE-9865787AFBAE}"/>
              </c:ext>
            </c:extLst>
          </c:dPt>
          <c:dPt>
            <c:idx val="14"/>
            <c:invertIfNegative val="0"/>
            <c:bubble3D val="0"/>
            <c:spPr>
              <a:solidFill>
                <a:srgbClr val="C00000"/>
              </a:solidFill>
              <a:ln>
                <a:noFill/>
              </a:ln>
            </c:spPr>
            <c:extLst>
              <c:ext xmlns:c16="http://schemas.microsoft.com/office/drawing/2014/chart" uri="{C3380CC4-5D6E-409C-BE32-E72D297353CC}">
                <c16:uniqueId val="{00000009-1135-4A4A-80FE-9865787AFBAE}"/>
              </c:ext>
            </c:extLst>
          </c:dPt>
          <c:dPt>
            <c:idx val="15"/>
            <c:invertIfNegative val="0"/>
            <c:bubble3D val="0"/>
            <c:spPr>
              <a:solidFill>
                <a:srgbClr val="C00000"/>
              </a:solidFill>
              <a:ln>
                <a:noFill/>
              </a:ln>
            </c:spPr>
            <c:extLst>
              <c:ext xmlns:c16="http://schemas.microsoft.com/office/drawing/2014/chart" uri="{C3380CC4-5D6E-409C-BE32-E72D297353CC}">
                <c16:uniqueId val="{0000000B-1135-4A4A-80FE-9865787AFBAE}"/>
              </c:ext>
            </c:extLst>
          </c:dPt>
          <c:cat>
            <c:strRef>
              <c:f>('Quadro 4'!$B$7:$B$16,'Quadro 4'!$B$18:$B$23)</c:f>
              <c:strCache>
                <c:ptCount val="16"/>
                <c:pt idx="0">
                  <c:v>França</c:v>
                </c:pt>
                <c:pt idx="1">
                  <c:v>Suíça</c:v>
                </c:pt>
                <c:pt idx="2">
                  <c:v>Angola</c:v>
                </c:pt>
                <c:pt idx="3">
                  <c:v>Alemanha</c:v>
                </c:pt>
                <c:pt idx="4">
                  <c:v>Reino Unido</c:v>
                </c:pt>
                <c:pt idx="5">
                  <c:v>Espanha</c:v>
                </c:pt>
                <c:pt idx="6">
                  <c:v>EUA</c:v>
                </c:pt>
                <c:pt idx="7">
                  <c:v>Luxemburgo</c:v>
                </c:pt>
                <c:pt idx="8">
                  <c:v>Bélgica</c:v>
                </c:pt>
                <c:pt idx="9">
                  <c:v>Holanda</c:v>
                </c:pt>
                <c:pt idx="10">
                  <c:v>Moçambique</c:v>
                </c:pt>
                <c:pt idx="11">
                  <c:v>Cabo Verde</c:v>
                </c:pt>
                <c:pt idx="12">
                  <c:v>Roménia</c:v>
                </c:pt>
                <c:pt idx="13">
                  <c:v>Ucrânia</c:v>
                </c:pt>
                <c:pt idx="14">
                  <c:v>China</c:v>
                </c:pt>
                <c:pt idx="15">
                  <c:v>Brasil</c:v>
                </c:pt>
              </c:strCache>
            </c:strRef>
          </c:cat>
          <c:val>
            <c:numRef>
              <c:f>('Quadro 4'!$G$7:$G$16,'Quadro 4'!$G$18:$G$23)</c:f>
              <c:numCache>
                <c:formatCode>#,##0</c:formatCode>
                <c:ptCount val="16"/>
                <c:pt idx="0">
                  <c:v>874787</c:v>
                </c:pt>
                <c:pt idx="1">
                  <c:v>734282</c:v>
                </c:pt>
                <c:pt idx="2">
                  <c:v>285481</c:v>
                </c:pt>
                <c:pt idx="3">
                  <c:v>193084</c:v>
                </c:pt>
                <c:pt idx="4">
                  <c:v>149592</c:v>
                </c:pt>
                <c:pt idx="5">
                  <c:v>141460</c:v>
                </c:pt>
                <c:pt idx="6">
                  <c:v>133181</c:v>
                </c:pt>
                <c:pt idx="7">
                  <c:v>85488</c:v>
                </c:pt>
                <c:pt idx="8">
                  <c:v>65639</c:v>
                </c:pt>
                <c:pt idx="9">
                  <c:v>59320</c:v>
                </c:pt>
                <c:pt idx="10">
                  <c:v>-2455</c:v>
                </c:pt>
                <c:pt idx="11">
                  <c:v>-9692</c:v>
                </c:pt>
                <c:pt idx="12">
                  <c:v>-13975</c:v>
                </c:pt>
                <c:pt idx="13">
                  <c:v>-30918</c:v>
                </c:pt>
                <c:pt idx="14">
                  <c:v>-76535</c:v>
                </c:pt>
                <c:pt idx="15">
                  <c:v>-236726</c:v>
                </c:pt>
              </c:numCache>
            </c:numRef>
          </c:val>
          <c:extLst>
            <c:ext xmlns:c16="http://schemas.microsoft.com/office/drawing/2014/chart" uri="{C3380CC4-5D6E-409C-BE32-E72D297353CC}">
              <c16:uniqueId val="{0000000C-1135-4A4A-80FE-9865787AFBAE}"/>
            </c:ext>
          </c:extLst>
        </c:ser>
        <c:dLbls>
          <c:showLegendKey val="0"/>
          <c:showVal val="0"/>
          <c:showCatName val="0"/>
          <c:showSerName val="0"/>
          <c:showPercent val="0"/>
          <c:showBubbleSize val="0"/>
        </c:dLbls>
        <c:gapWidth val="50"/>
        <c:axId val="160144896"/>
        <c:axId val="172932416"/>
      </c:barChart>
      <c:catAx>
        <c:axId val="160144896"/>
        <c:scaling>
          <c:orientation val="maxMin"/>
        </c:scaling>
        <c:delete val="0"/>
        <c:axPos val="l"/>
        <c:numFmt formatCode="General" sourceLinked="1"/>
        <c:majorTickMark val="none"/>
        <c:minorTickMark val="none"/>
        <c:tickLblPos val="low"/>
        <c:spPr>
          <a:ln w="12700">
            <a:solidFill>
              <a:schemeClr val="tx1"/>
            </a:solidFill>
          </a:ln>
        </c:spPr>
        <c:crossAx val="172932416"/>
        <c:crosses val="autoZero"/>
        <c:auto val="1"/>
        <c:lblAlgn val="ctr"/>
        <c:lblOffset val="100"/>
        <c:noMultiLvlLbl val="0"/>
      </c:catAx>
      <c:valAx>
        <c:axId val="172932416"/>
        <c:scaling>
          <c:orientation val="minMax"/>
          <c:max val="9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160144896"/>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
          <c:order val="0"/>
          <c:tx>
            <c:v>Remessas</c:v>
          </c:tx>
          <c:spPr>
            <a:solidFill>
              <a:schemeClr val="accent1">
                <a:lumMod val="75000"/>
              </a:schemeClr>
            </a:solidFill>
            <a:ln>
              <a:noFill/>
            </a:ln>
          </c:spPr>
          <c:invertIfNegative val="0"/>
          <c:cat>
            <c:numRef>
              <c:f>'Quadro 5'!$B$6:$B$23</c:f>
              <c:numCache>
                <c:formatCode>General</c:formatCode>
                <c:ptCount val="1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numCache>
            </c:numRef>
          </c:cat>
          <c:val>
            <c:numRef>
              <c:f>'Quadro 5'!$C$6:$C$23</c:f>
              <c:numCache>
                <c:formatCode>#,##0</c:formatCode>
                <c:ptCount val="18"/>
                <c:pt idx="0">
                  <c:v>2737486</c:v>
                </c:pt>
                <c:pt idx="1">
                  <c:v>2932554</c:v>
                </c:pt>
                <c:pt idx="2">
                  <c:v>3016292</c:v>
                </c:pt>
                <c:pt idx="3">
                  <c:v>3121683</c:v>
                </c:pt>
                <c:pt idx="4">
                  <c:v>3458121</c:v>
                </c:pt>
                <c:pt idx="5">
                  <c:v>3736820</c:v>
                </c:pt>
                <c:pt idx="6">
                  <c:v>2817885</c:v>
                </c:pt>
                <c:pt idx="7">
                  <c:v>2433777</c:v>
                </c:pt>
                <c:pt idx="8">
                  <c:v>2442164</c:v>
                </c:pt>
                <c:pt idx="9">
                  <c:v>2277248</c:v>
                </c:pt>
                <c:pt idx="10">
                  <c:v>2420267</c:v>
                </c:pt>
                <c:pt idx="11">
                  <c:v>2588417</c:v>
                </c:pt>
                <c:pt idx="12">
                  <c:v>2484680</c:v>
                </c:pt>
                <c:pt idx="13">
                  <c:v>2281866</c:v>
                </c:pt>
                <c:pt idx="14">
                  <c:v>2425899</c:v>
                </c:pt>
                <c:pt idx="15">
                  <c:v>2430491</c:v>
                </c:pt>
                <c:pt idx="16">
                  <c:v>2749461</c:v>
                </c:pt>
                <c:pt idx="17">
                  <c:v>3015777</c:v>
                </c:pt>
              </c:numCache>
            </c:numRef>
          </c:val>
          <c:extLst>
            <c:ext xmlns:c16="http://schemas.microsoft.com/office/drawing/2014/chart" uri="{C3380CC4-5D6E-409C-BE32-E72D297353CC}">
              <c16:uniqueId val="{00000000-685E-4F3B-8027-F821153FA398}"/>
            </c:ext>
          </c:extLst>
        </c:ser>
        <c:dLbls>
          <c:showLegendKey val="0"/>
          <c:showVal val="0"/>
          <c:showCatName val="0"/>
          <c:showSerName val="0"/>
          <c:showPercent val="0"/>
          <c:showBubbleSize val="0"/>
        </c:dLbls>
        <c:gapWidth val="50"/>
        <c:axId val="160142848"/>
        <c:axId val="160566080"/>
      </c:barChart>
      <c:lineChart>
        <c:grouping val="standard"/>
        <c:varyColors val="0"/>
        <c:ser>
          <c:idx val="1"/>
          <c:order val="1"/>
          <c:tx>
            <c:v>Remessas em % do PIB</c:v>
          </c:tx>
          <c:spPr>
            <a:ln>
              <a:solidFill>
                <a:srgbClr val="C00000"/>
              </a:solidFill>
            </a:ln>
          </c:spPr>
          <c:marker>
            <c:symbol val="none"/>
          </c:marker>
          <c:val>
            <c:numRef>
              <c:f>'Quadro 5'!$K$6:$K$23</c:f>
              <c:numCache>
                <c:formatCode>0.0</c:formatCode>
                <c:ptCount val="18"/>
                <c:pt idx="0">
                  <c:v>2.9367125815310677</c:v>
                </c:pt>
                <c:pt idx="1">
                  <c:v>2.8993563695684412</c:v>
                </c:pt>
                <c:pt idx="2">
                  <c:v>2.7327426252083784</c:v>
                </c:pt>
                <c:pt idx="3">
                  <c:v>2.6307573676271057</c:v>
                </c:pt>
                <c:pt idx="4">
                  <c:v>2.7161715730937197</c:v>
                </c:pt>
                <c:pt idx="5">
                  <c:v>2.7789040016062945</c:v>
                </c:pt>
                <c:pt idx="6">
                  <c:v>2.0046704039383636</c:v>
                </c:pt>
                <c:pt idx="7">
                  <c:v>1.6963546640087546</c:v>
                </c:pt>
                <c:pt idx="8">
                  <c:v>1.635611337333905</c:v>
                </c:pt>
                <c:pt idx="9">
                  <c:v>1.4761635595197968</c:v>
                </c:pt>
                <c:pt idx="10">
                  <c:v>1.5046265269963632</c:v>
                </c:pt>
                <c:pt idx="11">
                  <c:v>1.528722116242123</c:v>
                </c:pt>
                <c:pt idx="12">
                  <c:v>1.4447241878557764</c:v>
                </c:pt>
                <c:pt idx="13">
                  <c:v>1.3539901144610127</c:v>
                </c:pt>
                <c:pt idx="14">
                  <c:v>1.4033975668030012</c:v>
                </c:pt>
                <c:pt idx="15">
                  <c:v>1.420293234225074</c:v>
                </c:pt>
                <c:pt idx="16">
                  <c:v>1.6652601040537347</c:v>
                </c:pt>
                <c:pt idx="17">
                  <c:v>1.8203958567237692</c:v>
                </c:pt>
              </c:numCache>
            </c:numRef>
          </c:val>
          <c:smooth val="0"/>
          <c:extLst>
            <c:ext xmlns:c16="http://schemas.microsoft.com/office/drawing/2014/chart" uri="{C3380CC4-5D6E-409C-BE32-E72D297353CC}">
              <c16:uniqueId val="{00000001-685E-4F3B-8027-F821153FA398}"/>
            </c:ext>
          </c:extLst>
        </c:ser>
        <c:ser>
          <c:idx val="3"/>
          <c:order val="2"/>
          <c:tx>
            <c:v>Remessas em % das exportações</c:v>
          </c:tx>
          <c:spPr>
            <a:ln>
              <a:solidFill>
                <a:srgbClr val="FFC000"/>
              </a:solidFill>
            </a:ln>
          </c:spPr>
          <c:marker>
            <c:symbol val="none"/>
          </c:marker>
          <c:val>
            <c:numRef>
              <c:f>'Quadro 5'!$L$6:$L$23</c:f>
              <c:numCache>
                <c:formatCode>0.0</c:formatCode>
                <c:ptCount val="18"/>
                <c:pt idx="0">
                  <c:v>10.929274555959768</c:v>
                </c:pt>
                <c:pt idx="1">
                  <c:v>10.554371612203573</c:v>
                </c:pt>
                <c:pt idx="2">
                  <c:v>9.9114239099614583</c:v>
                </c:pt>
                <c:pt idx="3">
                  <c:v>9.8566849713768736</c:v>
                </c:pt>
                <c:pt idx="4">
                  <c:v>9.5486654536401741</c:v>
                </c:pt>
                <c:pt idx="5">
                  <c:v>10.031910636793919</c:v>
                </c:pt>
                <c:pt idx="6">
                  <c:v>7.3319750672491582</c:v>
                </c:pt>
                <c:pt idx="7">
                  <c:v>6.2245195549024928</c:v>
                </c:pt>
                <c:pt idx="8">
                  <c:v>5.8807738482355587</c:v>
                </c:pt>
                <c:pt idx="9">
                  <c:v>5.3690216901829508</c:v>
                </c:pt>
                <c:pt idx="10">
                  <c:v>4.866155280784386</c:v>
                </c:pt>
                <c:pt idx="11">
                  <c:v>4.7576761643294674</c:v>
                </c:pt>
                <c:pt idx="12">
                  <c:v>4.4628629854830502</c:v>
                </c:pt>
                <c:pt idx="13">
                  <c:v>4.8026526342960096</c:v>
                </c:pt>
                <c:pt idx="14">
                  <c:v>4.5132260703572404</c:v>
                </c:pt>
                <c:pt idx="15">
                  <c:v>4.0233343330044304</c:v>
                </c:pt>
                <c:pt idx="16">
                  <c:v>4.3391624601681489</c:v>
                </c:pt>
                <c:pt idx="17">
                  <c:v>4.4866750403298745</c:v>
                </c:pt>
              </c:numCache>
            </c:numRef>
          </c:val>
          <c:smooth val="0"/>
          <c:extLst>
            <c:ext xmlns:c16="http://schemas.microsoft.com/office/drawing/2014/chart" uri="{C3380CC4-5D6E-409C-BE32-E72D297353CC}">
              <c16:uniqueId val="{00000002-685E-4F3B-8027-F821153FA398}"/>
            </c:ext>
          </c:extLst>
        </c:ser>
        <c:ser>
          <c:idx val="0"/>
          <c:order val="3"/>
          <c:tx>
            <c:v>Remessas em % do investimento directo estrangeiro</c:v>
          </c:tx>
          <c:spPr>
            <a:ln w="28575">
              <a:solidFill>
                <a:srgbClr val="FFFF00"/>
              </a:solidFill>
            </a:ln>
          </c:spPr>
          <c:marker>
            <c:symbol val="none"/>
          </c:marker>
          <c:val>
            <c:numRef>
              <c:f>'Quadro 5'!$M$6:$M$23</c:f>
              <c:numCache>
                <c:formatCode>0.0</c:formatCode>
                <c:ptCount val="18"/>
                <c:pt idx="0">
                  <c:v>59.130982871043678</c:v>
                </c:pt>
                <c:pt idx="1">
                  <c:v>36.877387240269137</c:v>
                </c:pt>
                <c:pt idx="2">
                  <c:v>27.242000062860068</c:v>
                </c:pt>
                <c:pt idx="3">
                  <c:v>22.901030651029</c:v>
                </c:pt>
                <c:pt idx="4">
                  <c:v>13.003100969381476</c:v>
                </c:pt>
                <c:pt idx="5">
                  <c:v>13.409808931341413</c:v>
                </c:pt>
                <c:pt idx="6">
                  <c:v>12.981360116013319</c:v>
                </c:pt>
                <c:pt idx="7">
                  <c:v>7.5525980835372781</c:v>
                </c:pt>
                <c:pt idx="8">
                  <c:v>9.0079457877587217</c:v>
                </c:pt>
                <c:pt idx="9">
                  <c:v>8.2280513984393622</c:v>
                </c:pt>
                <c:pt idx="10">
                  <c:v>7.3743365809741421</c:v>
                </c:pt>
                <c:pt idx="11">
                  <c:v>7.931706263549219</c:v>
                </c:pt>
                <c:pt idx="12">
                  <c:v>7.0412876067352972</c:v>
                </c:pt>
                <c:pt idx="13">
                  <c:v>7.1268787276006647</c:v>
                </c:pt>
                <c:pt idx="14">
                  <c:v>6.122584648950931</c:v>
                </c:pt>
                <c:pt idx="15">
                  <c:v>5.6409551805245792</c:v>
                </c:pt>
                <c:pt idx="16">
                  <c:v>5.7694158706197225</c:v>
                </c:pt>
                <c:pt idx="17">
                  <c:v>10.016169205534835</c:v>
                </c:pt>
              </c:numCache>
            </c:numRef>
          </c:val>
          <c:smooth val="0"/>
          <c:extLst>
            <c:ext xmlns:c16="http://schemas.microsoft.com/office/drawing/2014/chart" uri="{C3380CC4-5D6E-409C-BE32-E72D297353CC}">
              <c16:uniqueId val="{00000003-685E-4F3B-8027-F821153FA398}"/>
            </c:ext>
          </c:extLst>
        </c:ser>
        <c:dLbls>
          <c:showLegendKey val="0"/>
          <c:showVal val="0"/>
          <c:showCatName val="0"/>
          <c:showSerName val="0"/>
          <c:showPercent val="0"/>
          <c:showBubbleSize val="0"/>
        </c:dLbls>
        <c:marker val="1"/>
        <c:smooth val="0"/>
        <c:axId val="160696832"/>
        <c:axId val="160566656"/>
      </c:lineChart>
      <c:catAx>
        <c:axId val="160142848"/>
        <c:scaling>
          <c:orientation val="minMax"/>
        </c:scaling>
        <c:delete val="0"/>
        <c:axPos val="b"/>
        <c:numFmt formatCode="General" sourceLinked="1"/>
        <c:majorTickMark val="none"/>
        <c:minorTickMark val="none"/>
        <c:tickLblPos val="nextTo"/>
        <c:spPr>
          <a:ln w="12700">
            <a:solidFill>
              <a:schemeClr val="tx1"/>
            </a:solidFill>
          </a:ln>
        </c:spPr>
        <c:txPr>
          <a:bodyPr rot="-5400000" vert="horz"/>
          <a:lstStyle/>
          <a:p>
            <a:pPr>
              <a:defRPr/>
            </a:pPr>
            <a:endParaRPr lang="pt-PT"/>
          </a:p>
        </c:txPr>
        <c:crossAx val="160566080"/>
        <c:crosses val="autoZero"/>
        <c:auto val="1"/>
        <c:lblAlgn val="ctr"/>
        <c:lblOffset val="100"/>
        <c:noMultiLvlLbl val="0"/>
      </c:catAx>
      <c:valAx>
        <c:axId val="160566080"/>
        <c:scaling>
          <c:orientation val="minMax"/>
        </c:scaling>
        <c:delete val="0"/>
        <c:axPos val="r"/>
        <c:majorGridlines>
          <c:spPr>
            <a:ln w="15875">
              <a:solidFill>
                <a:schemeClr val="bg1"/>
              </a:solidFill>
            </a:ln>
          </c:spPr>
        </c:majorGridlines>
        <c:numFmt formatCode="#,##0" sourceLinked="1"/>
        <c:majorTickMark val="none"/>
        <c:minorTickMark val="none"/>
        <c:tickLblPos val="low"/>
        <c:spPr>
          <a:ln>
            <a:noFill/>
          </a:ln>
        </c:spPr>
        <c:crossAx val="160142848"/>
        <c:crosses val="max"/>
        <c:crossBetween val="between"/>
      </c:valAx>
      <c:catAx>
        <c:axId val="160696832"/>
        <c:scaling>
          <c:orientation val="minMax"/>
        </c:scaling>
        <c:delete val="1"/>
        <c:axPos val="b"/>
        <c:majorTickMark val="out"/>
        <c:minorTickMark val="none"/>
        <c:tickLblPos val="nextTo"/>
        <c:crossAx val="160566656"/>
        <c:crosses val="autoZero"/>
        <c:auto val="1"/>
        <c:lblAlgn val="ctr"/>
        <c:lblOffset val="100"/>
        <c:noMultiLvlLbl val="0"/>
      </c:catAx>
      <c:valAx>
        <c:axId val="160566656"/>
        <c:scaling>
          <c:orientation val="minMax"/>
        </c:scaling>
        <c:delete val="0"/>
        <c:axPos val="r"/>
        <c:numFmt formatCode="0.0" sourceLinked="1"/>
        <c:majorTickMark val="none"/>
        <c:minorTickMark val="none"/>
        <c:tickLblPos val="none"/>
        <c:spPr>
          <a:ln>
            <a:noFill/>
          </a:ln>
        </c:spPr>
        <c:crossAx val="160696832"/>
        <c:crosses val="max"/>
        <c:crossBetween val="between"/>
        <c:majorUnit val="8"/>
      </c:valAx>
      <c:spPr>
        <a:noFill/>
        <a:ln w="25400">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a:noFill/>
            </a:ln>
          </c:spPr>
          <c:invertIfNegative val="0"/>
          <c:dPt>
            <c:idx val="5"/>
            <c:invertIfNegative val="0"/>
            <c:bubble3D val="0"/>
            <c:spPr>
              <a:solidFill>
                <a:srgbClr val="C00000"/>
              </a:solidFill>
              <a:ln>
                <a:noFill/>
              </a:ln>
            </c:spPr>
            <c:extLst>
              <c:ext xmlns:c16="http://schemas.microsoft.com/office/drawing/2014/chart" uri="{C3380CC4-5D6E-409C-BE32-E72D297353CC}">
                <c16:uniqueId val="{00000001-85C5-4634-8B3A-F181E72A7197}"/>
              </c:ext>
            </c:extLst>
          </c:dPt>
          <c:dPt>
            <c:idx val="6"/>
            <c:invertIfNegative val="0"/>
            <c:bubble3D val="0"/>
            <c:spPr>
              <a:solidFill>
                <a:srgbClr val="C00000"/>
              </a:solidFill>
              <a:ln>
                <a:noFill/>
              </a:ln>
            </c:spPr>
            <c:extLst>
              <c:ext xmlns:c16="http://schemas.microsoft.com/office/drawing/2014/chart" uri="{C3380CC4-5D6E-409C-BE32-E72D297353CC}">
                <c16:uniqueId val="{00000003-85C5-4634-8B3A-F181E72A7197}"/>
              </c:ext>
            </c:extLst>
          </c:dPt>
          <c:dPt>
            <c:idx val="7"/>
            <c:invertIfNegative val="0"/>
            <c:bubble3D val="0"/>
            <c:spPr>
              <a:solidFill>
                <a:srgbClr val="C00000"/>
              </a:solidFill>
              <a:ln>
                <a:noFill/>
              </a:ln>
            </c:spPr>
            <c:extLst>
              <c:ext xmlns:c16="http://schemas.microsoft.com/office/drawing/2014/chart" uri="{C3380CC4-5D6E-409C-BE32-E72D297353CC}">
                <c16:uniqueId val="{00000005-85C5-4634-8B3A-F181E72A7197}"/>
              </c:ext>
            </c:extLst>
          </c:dPt>
          <c:dPt>
            <c:idx val="8"/>
            <c:invertIfNegative val="0"/>
            <c:bubble3D val="0"/>
            <c:spPr>
              <a:solidFill>
                <a:srgbClr val="C00000"/>
              </a:solidFill>
              <a:ln>
                <a:noFill/>
              </a:ln>
            </c:spPr>
            <c:extLst>
              <c:ext xmlns:c16="http://schemas.microsoft.com/office/drawing/2014/chart" uri="{C3380CC4-5D6E-409C-BE32-E72D297353CC}">
                <c16:uniqueId val="{00000007-85C5-4634-8B3A-F181E72A7197}"/>
              </c:ext>
            </c:extLst>
          </c:dPt>
          <c:dPt>
            <c:idx val="9"/>
            <c:invertIfNegative val="0"/>
            <c:bubble3D val="0"/>
            <c:spPr>
              <a:solidFill>
                <a:srgbClr val="C00000"/>
              </a:solidFill>
              <a:ln>
                <a:noFill/>
              </a:ln>
            </c:spPr>
            <c:extLst>
              <c:ext xmlns:c16="http://schemas.microsoft.com/office/drawing/2014/chart" uri="{C3380CC4-5D6E-409C-BE32-E72D297353CC}">
                <c16:uniqueId val="{00000009-85C5-4634-8B3A-F181E72A7197}"/>
              </c:ext>
            </c:extLst>
          </c:dPt>
          <c:cat>
            <c:strRef>
              <c:f>'Quadro 7'!$B$23:$B$32</c:f>
              <c:strCache>
                <c:ptCount val="10"/>
                <c:pt idx="0">
                  <c:v>Angola</c:v>
                </c:pt>
                <c:pt idx="1">
                  <c:v>Holanda</c:v>
                </c:pt>
                <c:pt idx="2">
                  <c:v>Bélgica</c:v>
                </c:pt>
                <c:pt idx="3">
                  <c:v>Espanha</c:v>
                </c:pt>
                <c:pt idx="4">
                  <c:v>Suíça</c:v>
                </c:pt>
                <c:pt idx="5">
                  <c:v>Alemanha</c:v>
                </c:pt>
                <c:pt idx="6">
                  <c:v>França</c:v>
                </c:pt>
                <c:pt idx="7">
                  <c:v>Luxemburgo</c:v>
                </c:pt>
                <c:pt idx="8">
                  <c:v>Reino Unido</c:v>
                </c:pt>
                <c:pt idx="9">
                  <c:v>EUA</c:v>
                </c:pt>
              </c:strCache>
            </c:strRef>
          </c:cat>
          <c:val>
            <c:numRef>
              <c:f>'Quadro 7'!$P$23:$P$32</c:f>
              <c:numCache>
                <c:formatCode>#,##0</c:formatCode>
                <c:ptCount val="10"/>
                <c:pt idx="0">
                  <c:v>2031.1484593837536</c:v>
                </c:pt>
                <c:pt idx="1">
                  <c:v>229.98054264403851</c:v>
                </c:pt>
                <c:pt idx="2">
                  <c:v>145.34535630841123</c:v>
                </c:pt>
                <c:pt idx="3">
                  <c:v>101.02245028864658</c:v>
                </c:pt>
                <c:pt idx="4">
                  <c:v>17.292382402201795</c:v>
                </c:pt>
                <c:pt idx="5">
                  <c:v>-4.15830519180777</c:v>
                </c:pt>
                <c:pt idx="6">
                  <c:v>-4.2320862939816806</c:v>
                </c:pt>
                <c:pt idx="7">
                  <c:v>-16.774045319216143</c:v>
                </c:pt>
                <c:pt idx="8">
                  <c:v>-27.548578583685014</c:v>
                </c:pt>
                <c:pt idx="9">
                  <c:v>-62.325245468531435</c:v>
                </c:pt>
              </c:numCache>
            </c:numRef>
          </c:val>
          <c:extLst>
            <c:ext xmlns:c16="http://schemas.microsoft.com/office/drawing/2014/chart" uri="{C3380CC4-5D6E-409C-BE32-E72D297353CC}">
              <c16:uniqueId val="{0000000A-85C5-4634-8B3A-F181E72A7197}"/>
            </c:ext>
          </c:extLst>
        </c:ser>
        <c:dLbls>
          <c:showLegendKey val="0"/>
          <c:showVal val="0"/>
          <c:showCatName val="0"/>
          <c:showSerName val="0"/>
          <c:showPercent val="0"/>
          <c:showBubbleSize val="0"/>
        </c:dLbls>
        <c:gapWidth val="50"/>
        <c:axId val="160113664"/>
        <c:axId val="160568960"/>
      </c:barChart>
      <c:catAx>
        <c:axId val="160113664"/>
        <c:scaling>
          <c:orientation val="maxMin"/>
        </c:scaling>
        <c:delete val="0"/>
        <c:axPos val="l"/>
        <c:numFmt formatCode="General" sourceLinked="1"/>
        <c:majorTickMark val="none"/>
        <c:minorTickMark val="none"/>
        <c:tickLblPos val="low"/>
        <c:spPr>
          <a:ln w="12700">
            <a:solidFill>
              <a:schemeClr val="tx1"/>
            </a:solidFill>
          </a:ln>
        </c:spPr>
        <c:crossAx val="160568960"/>
        <c:crosses val="autoZero"/>
        <c:auto val="1"/>
        <c:lblAlgn val="ctr"/>
        <c:lblOffset val="100"/>
        <c:noMultiLvlLbl val="0"/>
      </c:catAx>
      <c:valAx>
        <c:axId val="160568960"/>
        <c:scaling>
          <c:orientation val="minMax"/>
          <c:max val="400"/>
          <c:min val="-100"/>
        </c:scaling>
        <c:delete val="0"/>
        <c:axPos val="b"/>
        <c:majorGridlines>
          <c:spPr>
            <a:ln w="15875">
              <a:solidFill>
                <a:schemeClr val="bg1"/>
              </a:solidFill>
            </a:ln>
          </c:spPr>
        </c:majorGridlines>
        <c:numFmt formatCode="#,##0" sourceLinked="1"/>
        <c:majorTickMark val="out"/>
        <c:minorTickMark val="none"/>
        <c:tickLblPos val="nextTo"/>
        <c:spPr>
          <a:ln>
            <a:noFill/>
          </a:ln>
        </c:spPr>
        <c:crossAx val="160113664"/>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dPt>
            <c:idx val="27"/>
            <c:invertIfNegative val="0"/>
            <c:bubble3D val="0"/>
            <c:extLst>
              <c:ext xmlns:c16="http://schemas.microsoft.com/office/drawing/2014/chart" uri="{C3380CC4-5D6E-409C-BE32-E72D297353CC}">
                <c16:uniqueId val="{00000000-DAC7-4AB7-A5E2-0E3428ED3422}"/>
              </c:ext>
            </c:extLst>
          </c:dPt>
          <c:dPt>
            <c:idx val="28"/>
            <c:invertIfNegative val="0"/>
            <c:bubble3D val="0"/>
            <c:spPr>
              <a:solidFill>
                <a:srgbClr val="C00000"/>
              </a:solidFill>
              <a:ln>
                <a:noFill/>
              </a:ln>
            </c:spPr>
            <c:extLst>
              <c:ext xmlns:c16="http://schemas.microsoft.com/office/drawing/2014/chart" uri="{C3380CC4-5D6E-409C-BE32-E72D297353CC}">
                <c16:uniqueId val="{00000002-DAC7-4AB7-A5E2-0E3428ED3422}"/>
              </c:ext>
            </c:extLst>
          </c:dPt>
          <c:cat>
            <c:strRef>
              <c:f>'Quadro 9'!$C$5:$C$34</c:f>
              <c:strCache>
                <c:ptCount val="30"/>
                <c:pt idx="0">
                  <c:v>Índia</c:v>
                </c:pt>
                <c:pt idx="1">
                  <c:v>China</c:v>
                </c:pt>
                <c:pt idx="2">
                  <c:v>Filipinas</c:v>
                </c:pt>
                <c:pt idx="3">
                  <c:v>México</c:v>
                </c:pt>
                <c:pt idx="4">
                  <c:v>França</c:v>
                </c:pt>
                <c:pt idx="5">
                  <c:v>Nigéria</c:v>
                </c:pt>
                <c:pt idx="6">
                  <c:v>Egito</c:v>
                </c:pt>
                <c:pt idx="7">
                  <c:v>Bangladesh</c:v>
                </c:pt>
                <c:pt idx="8">
                  <c:v>Paquistão</c:v>
                </c:pt>
                <c:pt idx="9">
                  <c:v>Alemanha</c:v>
                </c:pt>
                <c:pt idx="10">
                  <c:v>África do Sul</c:v>
                </c:pt>
                <c:pt idx="11">
                  <c:v>Bélgica</c:v>
                </c:pt>
                <c:pt idx="12">
                  <c:v>Espanha</c:v>
                </c:pt>
                <c:pt idx="13">
                  <c:v>Coreia</c:v>
                </c:pt>
                <c:pt idx="14">
                  <c:v>Ucrânia</c:v>
                </c:pt>
                <c:pt idx="15">
                  <c:v>Itália</c:v>
                </c:pt>
                <c:pt idx="16">
                  <c:v>Indonésia</c:v>
                </c:pt>
                <c:pt idx="17">
                  <c:v>Polónia</c:v>
                </c:pt>
                <c:pt idx="18">
                  <c:v>Líbano</c:v>
                </c:pt>
                <c:pt idx="19">
                  <c:v>Marrocos</c:v>
                </c:pt>
                <c:pt idx="20">
                  <c:v>EUA</c:v>
                </c:pt>
                <c:pt idx="21">
                  <c:v>Sri Lanka</c:v>
                </c:pt>
                <c:pt idx="22">
                  <c:v>Rússia</c:v>
                </c:pt>
                <c:pt idx="23">
                  <c:v>Guatemala</c:v>
                </c:pt>
                <c:pt idx="24">
                  <c:v>Nepal</c:v>
                </c:pt>
                <c:pt idx="25">
                  <c:v>Tailândia</c:v>
                </c:pt>
                <c:pt idx="26">
                  <c:v>Colômbia</c:v>
                </c:pt>
                <c:pt idx="27">
                  <c:v>El Salvador</c:v>
                </c:pt>
                <c:pt idx="28">
                  <c:v>Portugal</c:v>
                </c:pt>
                <c:pt idx="29">
                  <c:v>Roménia</c:v>
                </c:pt>
              </c:strCache>
            </c:strRef>
          </c:cat>
          <c:val>
            <c:numRef>
              <c:f>'Quadro 9'!$D$5:$D$34</c:f>
              <c:numCache>
                <c:formatCode>#,##0</c:formatCode>
                <c:ptCount val="30"/>
                <c:pt idx="0">
                  <c:v>68820517.837653592</c:v>
                </c:pt>
                <c:pt idx="1">
                  <c:v>39221093.634999998</c:v>
                </c:pt>
                <c:pt idx="2">
                  <c:v>24641000</c:v>
                </c:pt>
                <c:pt idx="3">
                  <c:v>23365990.956999999</c:v>
                </c:pt>
                <c:pt idx="4">
                  <c:v>21675866.2140457</c:v>
                </c:pt>
                <c:pt idx="5">
                  <c:v>20633319.233919602</c:v>
                </c:pt>
                <c:pt idx="6">
                  <c:v>19236400</c:v>
                </c:pt>
                <c:pt idx="7">
                  <c:v>14084934.4675276</c:v>
                </c:pt>
                <c:pt idx="8">
                  <c:v>14007002</c:v>
                </c:pt>
                <c:pt idx="9">
                  <c:v>13963678.6145033</c:v>
                </c:pt>
                <c:pt idx="10">
                  <c:v>10846552.758510498</c:v>
                </c:pt>
                <c:pt idx="11">
                  <c:v>10123473.1372205</c:v>
                </c:pt>
                <c:pt idx="12">
                  <c:v>9633131.3326696791</c:v>
                </c:pt>
                <c:pt idx="13">
                  <c:v>8474000</c:v>
                </c:pt>
                <c:pt idx="14">
                  <c:v>8449000</c:v>
                </c:pt>
                <c:pt idx="15">
                  <c:v>7326336.2563865809</c:v>
                </c:pt>
                <c:pt idx="16">
                  <c:v>7212196.5775592001</c:v>
                </c:pt>
                <c:pt idx="17">
                  <c:v>6935000</c:v>
                </c:pt>
                <c:pt idx="18">
                  <c:v>6918082.4412618307</c:v>
                </c:pt>
                <c:pt idx="19">
                  <c:v>6507907.64208226</c:v>
                </c:pt>
                <c:pt idx="20">
                  <c:v>6285000</c:v>
                </c:pt>
                <c:pt idx="21">
                  <c:v>5999552.3243749402</c:v>
                </c:pt>
                <c:pt idx="22">
                  <c:v>5787700</c:v>
                </c:pt>
                <c:pt idx="23">
                  <c:v>5034519</c:v>
                </c:pt>
                <c:pt idx="24">
                  <c:v>4793419.0783647401</c:v>
                </c:pt>
                <c:pt idx="25">
                  <c:v>4713380.6240098104</c:v>
                </c:pt>
                <c:pt idx="26">
                  <c:v>4018674.6682006</c:v>
                </c:pt>
                <c:pt idx="27">
                  <c:v>3927280.0564999999</c:v>
                </c:pt>
                <c:pt idx="28">
                  <c:v>3903787.5210666498</c:v>
                </c:pt>
                <c:pt idx="29">
                  <c:v>3674000</c:v>
                </c:pt>
              </c:numCache>
            </c:numRef>
          </c:val>
          <c:extLst>
            <c:ext xmlns:c16="http://schemas.microsoft.com/office/drawing/2014/chart" uri="{C3380CC4-5D6E-409C-BE32-E72D297353CC}">
              <c16:uniqueId val="{00000003-DAC7-4AB7-A5E2-0E3428ED3422}"/>
            </c:ext>
          </c:extLst>
        </c:ser>
        <c:dLbls>
          <c:showLegendKey val="0"/>
          <c:showVal val="0"/>
          <c:showCatName val="0"/>
          <c:showSerName val="0"/>
          <c:showPercent val="0"/>
          <c:showBubbleSize val="0"/>
        </c:dLbls>
        <c:gapWidth val="50"/>
        <c:axId val="161828864"/>
        <c:axId val="160570112"/>
      </c:barChart>
      <c:catAx>
        <c:axId val="161828864"/>
        <c:scaling>
          <c:orientation val="maxMin"/>
        </c:scaling>
        <c:delete val="0"/>
        <c:axPos val="l"/>
        <c:numFmt formatCode="General" sourceLinked="1"/>
        <c:majorTickMark val="none"/>
        <c:minorTickMark val="none"/>
        <c:tickLblPos val="nextTo"/>
        <c:spPr>
          <a:ln w="12700">
            <a:solidFill>
              <a:schemeClr val="tx1"/>
            </a:solidFill>
          </a:ln>
        </c:spPr>
        <c:crossAx val="160570112"/>
        <c:crosses val="autoZero"/>
        <c:auto val="1"/>
        <c:lblAlgn val="ctr"/>
        <c:lblOffset val="100"/>
        <c:noMultiLvlLbl val="0"/>
      </c:catAx>
      <c:valAx>
        <c:axId val="160570112"/>
        <c:scaling>
          <c:orientation val="minMax"/>
          <c:max val="700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161828864"/>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dPt>
            <c:idx val="16"/>
            <c:invertIfNegative val="0"/>
            <c:bubble3D val="0"/>
            <c:spPr>
              <a:solidFill>
                <a:srgbClr val="C00000"/>
              </a:solidFill>
              <a:ln>
                <a:noFill/>
              </a:ln>
            </c:spPr>
            <c:extLst>
              <c:ext xmlns:c16="http://schemas.microsoft.com/office/drawing/2014/chart" uri="{C3380CC4-5D6E-409C-BE32-E72D297353CC}">
                <c16:uniqueId val="{00000001-4E7C-4B24-8763-34E1C7CE0A80}"/>
              </c:ext>
            </c:extLst>
          </c:dPt>
          <c:dPt>
            <c:idx val="17"/>
            <c:invertIfNegative val="0"/>
            <c:bubble3D val="0"/>
            <c:extLst>
              <c:ext xmlns:c16="http://schemas.microsoft.com/office/drawing/2014/chart" uri="{C3380CC4-5D6E-409C-BE32-E72D297353CC}">
                <c16:uniqueId val="{00000002-4E7C-4B24-8763-34E1C7CE0A80}"/>
              </c:ext>
            </c:extLst>
          </c:dPt>
          <c:dPt>
            <c:idx val="27"/>
            <c:invertIfNegative val="0"/>
            <c:bubble3D val="0"/>
            <c:extLst>
              <c:ext xmlns:c16="http://schemas.microsoft.com/office/drawing/2014/chart" uri="{C3380CC4-5D6E-409C-BE32-E72D297353CC}">
                <c16:uniqueId val="{00000003-4E7C-4B24-8763-34E1C7CE0A80}"/>
              </c:ext>
            </c:extLst>
          </c:dPt>
          <c:cat>
            <c:strRef>
              <c:f>'Quadro 9'!$E$5:$E$34</c:f>
              <c:strCache>
                <c:ptCount val="30"/>
                <c:pt idx="0">
                  <c:v>Nepal</c:v>
                </c:pt>
                <c:pt idx="1">
                  <c:v>El Salvador</c:v>
                </c:pt>
                <c:pt idx="2">
                  <c:v>Líbano</c:v>
                </c:pt>
                <c:pt idx="3">
                  <c:v>Bangladesh</c:v>
                </c:pt>
                <c:pt idx="4">
                  <c:v>Sri Lanka</c:v>
                </c:pt>
                <c:pt idx="5">
                  <c:v>Guatemala</c:v>
                </c:pt>
                <c:pt idx="6">
                  <c:v>Filipinas</c:v>
                </c:pt>
                <c:pt idx="7">
                  <c:v>Egito</c:v>
                </c:pt>
                <c:pt idx="8">
                  <c:v>Marrocos</c:v>
                </c:pt>
                <c:pt idx="9">
                  <c:v>Paquistão</c:v>
                </c:pt>
                <c:pt idx="10">
                  <c:v>Ucrânia</c:v>
                </c:pt>
                <c:pt idx="11">
                  <c:v>Nigéria</c:v>
                </c:pt>
                <c:pt idx="12">
                  <c:v>Índia</c:v>
                </c:pt>
                <c:pt idx="13">
                  <c:v>Roménia</c:v>
                </c:pt>
                <c:pt idx="14">
                  <c:v>Bélgica</c:v>
                </c:pt>
                <c:pt idx="15">
                  <c:v>México</c:v>
                </c:pt>
                <c:pt idx="16">
                  <c:v>Portugal</c:v>
                </c:pt>
                <c:pt idx="17">
                  <c:v>Polónia</c:v>
                </c:pt>
                <c:pt idx="18">
                  <c:v>Tailândia</c:v>
                </c:pt>
                <c:pt idx="19">
                  <c:v>Colômbia</c:v>
                </c:pt>
                <c:pt idx="20">
                  <c:v>França</c:v>
                </c:pt>
                <c:pt idx="21">
                  <c:v>Indonésia</c:v>
                </c:pt>
                <c:pt idx="22">
                  <c:v>Coreia</c:v>
                </c:pt>
                <c:pt idx="23">
                  <c:v>Espanha</c:v>
                </c:pt>
                <c:pt idx="24">
                  <c:v>China</c:v>
                </c:pt>
                <c:pt idx="25">
                  <c:v>Alemanha</c:v>
                </c:pt>
                <c:pt idx="26">
                  <c:v>Itália</c:v>
                </c:pt>
                <c:pt idx="27">
                  <c:v>Rússia</c:v>
                </c:pt>
                <c:pt idx="28">
                  <c:v>África do Sul</c:v>
                </c:pt>
                <c:pt idx="29">
                  <c:v>EUA</c:v>
                </c:pt>
              </c:strCache>
            </c:strRef>
          </c:cat>
          <c:val>
            <c:numRef>
              <c:f>'Quadro 9'!$F$5:$F$34</c:f>
              <c:numCache>
                <c:formatCode>0.0</c:formatCode>
                <c:ptCount val="30"/>
                <c:pt idx="0">
                  <c:v>25.277795921064062</c:v>
                </c:pt>
                <c:pt idx="1">
                  <c:v>16.4566469573926</c:v>
                </c:pt>
                <c:pt idx="2">
                  <c:v>16.109065925551761</c:v>
                </c:pt>
                <c:pt idx="3">
                  <c:v>12.105133021186361</c:v>
                </c:pt>
                <c:pt idx="4">
                  <c:v>10.096345480496382</c:v>
                </c:pt>
                <c:pt idx="5">
                  <c:v>10.022184449858656</c:v>
                </c:pt>
                <c:pt idx="6">
                  <c:v>9.8492289939852693</c:v>
                </c:pt>
                <c:pt idx="7">
                  <c:v>7.3188981546015262</c:v>
                </c:pt>
                <c:pt idx="8">
                  <c:v>6.7803719728787195</c:v>
                </c:pt>
                <c:pt idx="9">
                  <c:v>6.2213728299552313</c:v>
                </c:pt>
                <c:pt idx="10">
                  <c:v>4.7921594206828155</c:v>
                </c:pt>
                <c:pt idx="11">
                  <c:v>4.489252395009161</c:v>
                </c:pt>
                <c:pt idx="12">
                  <c:v>3.7025357994121837</c:v>
                </c:pt>
                <c:pt idx="13">
                  <c:v>2.1688816703472376</c:v>
                </c:pt>
                <c:pt idx="14">
                  <c:v>2.0961685061758151</c:v>
                </c:pt>
                <c:pt idx="15">
                  <c:v>1.9833181935448319</c:v>
                </c:pt>
                <c:pt idx="16">
                  <c:v>1.8402147384970893</c:v>
                </c:pt>
                <c:pt idx="17">
                  <c:v>1.4158970813543765</c:v>
                </c:pt>
                <c:pt idx="18">
                  <c:v>1.2879292054774549</c:v>
                </c:pt>
                <c:pt idx="19">
                  <c:v>1.0872851286307987</c:v>
                </c:pt>
                <c:pt idx="20">
                  <c:v>0.83011134704080758</c:v>
                </c:pt>
                <c:pt idx="21">
                  <c:v>0.82139443609725826</c:v>
                </c:pt>
                <c:pt idx="22">
                  <c:v>0.75017820052614648</c:v>
                </c:pt>
                <c:pt idx="23">
                  <c:v>0.72861531038975746</c:v>
                </c:pt>
                <c:pt idx="24">
                  <c:v>0.47673033143872878</c:v>
                </c:pt>
                <c:pt idx="25">
                  <c:v>0.40758817377992484</c:v>
                </c:pt>
                <c:pt idx="26">
                  <c:v>0.36388328801978237</c:v>
                </c:pt>
                <c:pt idx="27">
                  <c:v>0.28726285451829453</c:v>
                </c:pt>
                <c:pt idx="28">
                  <c:v>0.28223250180752801</c:v>
                </c:pt>
                <c:pt idx="29">
                  <c:v>3.8689779988426924E-2</c:v>
                </c:pt>
              </c:numCache>
            </c:numRef>
          </c:val>
          <c:extLst>
            <c:ext xmlns:c16="http://schemas.microsoft.com/office/drawing/2014/chart" uri="{C3380CC4-5D6E-409C-BE32-E72D297353CC}">
              <c16:uniqueId val="{00000004-4E7C-4B24-8763-34E1C7CE0A80}"/>
            </c:ext>
          </c:extLst>
        </c:ser>
        <c:dLbls>
          <c:showLegendKey val="0"/>
          <c:showVal val="0"/>
          <c:showCatName val="0"/>
          <c:showSerName val="0"/>
          <c:showPercent val="0"/>
          <c:showBubbleSize val="0"/>
        </c:dLbls>
        <c:gapWidth val="50"/>
        <c:axId val="161830912"/>
        <c:axId val="159925376"/>
      </c:barChart>
      <c:catAx>
        <c:axId val="161830912"/>
        <c:scaling>
          <c:orientation val="maxMin"/>
        </c:scaling>
        <c:delete val="0"/>
        <c:axPos val="l"/>
        <c:numFmt formatCode="General" sourceLinked="1"/>
        <c:majorTickMark val="none"/>
        <c:minorTickMark val="none"/>
        <c:tickLblPos val="nextTo"/>
        <c:spPr>
          <a:ln w="12700">
            <a:solidFill>
              <a:schemeClr val="tx1"/>
            </a:solidFill>
          </a:ln>
        </c:spPr>
        <c:crossAx val="159925376"/>
        <c:crosses val="autoZero"/>
        <c:auto val="1"/>
        <c:lblAlgn val="ctr"/>
        <c:lblOffset val="100"/>
        <c:noMultiLvlLbl val="0"/>
      </c:catAx>
      <c:valAx>
        <c:axId val="159925376"/>
        <c:scaling>
          <c:orientation val="minMax"/>
          <c:max val="30"/>
        </c:scaling>
        <c:delete val="0"/>
        <c:axPos val="b"/>
        <c:majorGridlines>
          <c:spPr>
            <a:ln w="15875">
              <a:solidFill>
                <a:schemeClr val="bg1"/>
              </a:solidFill>
            </a:ln>
          </c:spPr>
        </c:majorGridlines>
        <c:numFmt formatCode="0" sourceLinked="0"/>
        <c:majorTickMark val="out"/>
        <c:minorTickMark val="none"/>
        <c:tickLblPos val="nextTo"/>
        <c:spPr>
          <a:ln>
            <a:noFill/>
          </a:ln>
        </c:spPr>
        <c:crossAx val="161830912"/>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dPt>
            <c:idx val="16"/>
            <c:invertIfNegative val="0"/>
            <c:bubble3D val="0"/>
            <c:spPr>
              <a:solidFill>
                <a:srgbClr val="C00000"/>
              </a:solidFill>
              <a:ln>
                <a:noFill/>
              </a:ln>
            </c:spPr>
            <c:extLst>
              <c:ext xmlns:c16="http://schemas.microsoft.com/office/drawing/2014/chart" uri="{C3380CC4-5D6E-409C-BE32-E72D297353CC}">
                <c16:uniqueId val="{00000001-2A80-496F-B7E4-3AEEC245EB89}"/>
              </c:ext>
            </c:extLst>
          </c:dPt>
          <c:dPt>
            <c:idx val="17"/>
            <c:invertIfNegative val="0"/>
            <c:bubble3D val="0"/>
            <c:extLst>
              <c:ext xmlns:c16="http://schemas.microsoft.com/office/drawing/2014/chart" uri="{C3380CC4-5D6E-409C-BE32-E72D297353CC}">
                <c16:uniqueId val="{00000002-2A80-496F-B7E4-3AEEC245EB89}"/>
              </c:ext>
            </c:extLst>
          </c:dPt>
          <c:dPt>
            <c:idx val="27"/>
            <c:invertIfNegative val="0"/>
            <c:bubble3D val="0"/>
            <c:extLst>
              <c:ext xmlns:c16="http://schemas.microsoft.com/office/drawing/2014/chart" uri="{C3380CC4-5D6E-409C-BE32-E72D297353CC}">
                <c16:uniqueId val="{00000003-2A80-496F-B7E4-3AEEC245EB89}"/>
              </c:ext>
            </c:extLst>
          </c:dPt>
          <c:cat>
            <c:strRef>
              <c:f>'Quadro 9'!$G$5:$G$34</c:f>
              <c:strCache>
                <c:ptCount val="30"/>
                <c:pt idx="0">
                  <c:v>Nepal</c:v>
                </c:pt>
                <c:pt idx="1">
                  <c:v>El Salvador</c:v>
                </c:pt>
                <c:pt idx="2">
                  <c:v>Líbano</c:v>
                </c:pt>
                <c:pt idx="3">
                  <c:v>Bangladesh</c:v>
                </c:pt>
                <c:pt idx="4">
                  <c:v>Paquistão</c:v>
                </c:pt>
                <c:pt idx="5">
                  <c:v>Sri Lanka</c:v>
                </c:pt>
                <c:pt idx="6">
                  <c:v>Egito</c:v>
                </c:pt>
                <c:pt idx="7">
                  <c:v>Guatemala</c:v>
                </c:pt>
                <c:pt idx="8">
                  <c:v>Filipinas</c:v>
                </c:pt>
                <c:pt idx="9">
                  <c:v>Marrocos</c:v>
                </c:pt>
                <c:pt idx="10">
                  <c:v>Índia</c:v>
                </c:pt>
                <c:pt idx="11">
                  <c:v>Nigéria</c:v>
                </c:pt>
                <c:pt idx="12">
                  <c:v>Ucrânia</c:v>
                </c:pt>
                <c:pt idx="13">
                  <c:v>México</c:v>
                </c:pt>
                <c:pt idx="14">
                  <c:v>Colômbia</c:v>
                </c:pt>
                <c:pt idx="15">
                  <c:v>Roménia</c:v>
                </c:pt>
                <c:pt idx="16">
                  <c:v>Portugal</c:v>
                </c:pt>
                <c:pt idx="17">
                  <c:v>Indonésia</c:v>
                </c:pt>
                <c:pt idx="18">
                  <c:v>Polónia</c:v>
                </c:pt>
                <c:pt idx="19">
                  <c:v>França</c:v>
                </c:pt>
                <c:pt idx="20">
                  <c:v>Bélgica</c:v>
                </c:pt>
                <c:pt idx="21">
                  <c:v>Espanha</c:v>
                </c:pt>
                <c:pt idx="22">
                  <c:v>China</c:v>
                </c:pt>
                <c:pt idx="23">
                  <c:v>Tailândia</c:v>
                </c:pt>
                <c:pt idx="24">
                  <c:v>Coreia</c:v>
                </c:pt>
                <c:pt idx="25">
                  <c:v>Itália</c:v>
                </c:pt>
                <c:pt idx="26">
                  <c:v>África do Sul</c:v>
                </c:pt>
                <c:pt idx="27">
                  <c:v>Rússia</c:v>
                </c:pt>
                <c:pt idx="28">
                  <c:v>Alemanha</c:v>
                </c:pt>
                <c:pt idx="29">
                  <c:v>EUA</c:v>
                </c:pt>
              </c:strCache>
            </c:strRef>
          </c:cat>
          <c:val>
            <c:numRef>
              <c:f>'Quadro 9'!$H$5:$H$34</c:f>
              <c:numCache>
                <c:formatCode>0.0</c:formatCode>
                <c:ptCount val="30"/>
                <c:pt idx="0">
                  <c:v>252.346</c:v>
                </c:pt>
                <c:pt idx="1">
                  <c:v>58.037999999999997</c:v>
                </c:pt>
                <c:pt idx="2">
                  <c:v>56.179000000000002</c:v>
                </c:pt>
                <c:pt idx="3">
                  <c:v>52.241999999999997</c:v>
                </c:pt>
                <c:pt idx="4">
                  <c:v>50.451000000000001</c:v>
                </c:pt>
                <c:pt idx="5">
                  <c:v>44.276000000000003</c:v>
                </c:pt>
                <c:pt idx="6">
                  <c:v>41.993000000000002</c:v>
                </c:pt>
                <c:pt idx="7">
                  <c:v>40.173999999999999</c:v>
                </c:pt>
                <c:pt idx="8">
                  <c:v>31.972999999999999</c:v>
                </c:pt>
                <c:pt idx="9">
                  <c:v>18.739999999999998</c:v>
                </c:pt>
                <c:pt idx="10">
                  <c:v>15.43</c:v>
                </c:pt>
                <c:pt idx="11">
                  <c:v>14.176</c:v>
                </c:pt>
                <c:pt idx="12">
                  <c:v>9.4120000000000008</c:v>
                </c:pt>
                <c:pt idx="13">
                  <c:v>6.0330000000000004</c:v>
                </c:pt>
                <c:pt idx="14">
                  <c:v>5.952</c:v>
                </c:pt>
                <c:pt idx="15">
                  <c:v>5.423</c:v>
                </c:pt>
                <c:pt idx="16">
                  <c:v>4.7560000000000002</c:v>
                </c:pt>
                <c:pt idx="17">
                  <c:v>3.3860000000000001</c:v>
                </c:pt>
                <c:pt idx="18">
                  <c:v>3.0680000000000001</c:v>
                </c:pt>
                <c:pt idx="19">
                  <c:v>3.0259999999999998</c:v>
                </c:pt>
                <c:pt idx="20">
                  <c:v>2.4340000000000002</c:v>
                </c:pt>
                <c:pt idx="21">
                  <c:v>2.2309999999999999</c:v>
                </c:pt>
                <c:pt idx="22">
                  <c:v>1.744</c:v>
                </c:pt>
                <c:pt idx="23">
                  <c:v>1.718</c:v>
                </c:pt>
                <c:pt idx="24">
                  <c:v>1.3280000000000001</c:v>
                </c:pt>
                <c:pt idx="25">
                  <c:v>1.204</c:v>
                </c:pt>
                <c:pt idx="26">
                  <c:v>0.999</c:v>
                </c:pt>
                <c:pt idx="27">
                  <c:v>0.97599999999999998</c:v>
                </c:pt>
                <c:pt idx="28">
                  <c:v>0.78700000000000003</c:v>
                </c:pt>
                <c:pt idx="29">
                  <c:v>0.28599999999999998</c:v>
                </c:pt>
              </c:numCache>
            </c:numRef>
          </c:val>
          <c:extLst>
            <c:ext xmlns:c16="http://schemas.microsoft.com/office/drawing/2014/chart" uri="{C3380CC4-5D6E-409C-BE32-E72D297353CC}">
              <c16:uniqueId val="{00000004-2A80-496F-B7E4-3AEEC245EB89}"/>
            </c:ext>
          </c:extLst>
        </c:ser>
        <c:dLbls>
          <c:showLegendKey val="0"/>
          <c:showVal val="0"/>
          <c:showCatName val="0"/>
          <c:showSerName val="0"/>
          <c:showPercent val="0"/>
          <c:showBubbleSize val="0"/>
        </c:dLbls>
        <c:gapWidth val="50"/>
        <c:axId val="160112640"/>
        <c:axId val="159927104"/>
      </c:barChart>
      <c:catAx>
        <c:axId val="160112640"/>
        <c:scaling>
          <c:orientation val="maxMin"/>
        </c:scaling>
        <c:delete val="0"/>
        <c:axPos val="l"/>
        <c:numFmt formatCode="General" sourceLinked="1"/>
        <c:majorTickMark val="none"/>
        <c:minorTickMark val="none"/>
        <c:tickLblPos val="nextTo"/>
        <c:spPr>
          <a:ln w="12700">
            <a:solidFill>
              <a:schemeClr val="tx1"/>
            </a:solidFill>
          </a:ln>
        </c:spPr>
        <c:crossAx val="159927104"/>
        <c:crosses val="autoZero"/>
        <c:auto val="1"/>
        <c:lblAlgn val="ctr"/>
        <c:lblOffset val="100"/>
        <c:noMultiLvlLbl val="0"/>
      </c:catAx>
      <c:valAx>
        <c:axId val="159927104"/>
        <c:scaling>
          <c:orientation val="minMax"/>
        </c:scaling>
        <c:delete val="0"/>
        <c:axPos val="b"/>
        <c:majorGridlines>
          <c:spPr>
            <a:ln w="15875">
              <a:solidFill>
                <a:schemeClr val="bg1"/>
              </a:solidFill>
            </a:ln>
          </c:spPr>
        </c:majorGridlines>
        <c:numFmt formatCode="0" sourceLinked="0"/>
        <c:majorTickMark val="out"/>
        <c:minorTickMark val="none"/>
        <c:tickLblPos val="nextTo"/>
        <c:spPr>
          <a:ln>
            <a:noFill/>
          </a:ln>
        </c:spPr>
        <c:crossAx val="160112640"/>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dPt>
            <c:idx val="17"/>
            <c:invertIfNegative val="0"/>
            <c:bubble3D val="0"/>
            <c:extLst>
              <c:ext xmlns:c16="http://schemas.microsoft.com/office/drawing/2014/chart" uri="{C3380CC4-5D6E-409C-BE32-E72D297353CC}">
                <c16:uniqueId val="{00000000-3B90-4B25-BB0A-8547CAA5CA48}"/>
              </c:ext>
            </c:extLst>
          </c:dPt>
          <c:dPt>
            <c:idx val="23"/>
            <c:invertIfNegative val="0"/>
            <c:bubble3D val="0"/>
            <c:spPr>
              <a:solidFill>
                <a:srgbClr val="C00000"/>
              </a:solidFill>
              <a:ln>
                <a:noFill/>
              </a:ln>
            </c:spPr>
            <c:extLst>
              <c:ext xmlns:c16="http://schemas.microsoft.com/office/drawing/2014/chart" uri="{C3380CC4-5D6E-409C-BE32-E72D297353CC}">
                <c16:uniqueId val="{00000002-3B90-4B25-BB0A-8547CAA5CA48}"/>
              </c:ext>
            </c:extLst>
          </c:dPt>
          <c:dPt>
            <c:idx val="27"/>
            <c:invertIfNegative val="0"/>
            <c:bubble3D val="0"/>
            <c:extLst>
              <c:ext xmlns:c16="http://schemas.microsoft.com/office/drawing/2014/chart" uri="{C3380CC4-5D6E-409C-BE32-E72D297353CC}">
                <c16:uniqueId val="{00000003-3B90-4B25-BB0A-8547CAA5CA48}"/>
              </c:ext>
            </c:extLst>
          </c:dPt>
          <c:cat>
            <c:strRef>
              <c:f>'Quadro 9'!$I$5:$I$34</c:f>
              <c:strCache>
                <c:ptCount val="30"/>
                <c:pt idx="0">
                  <c:v>Nepal</c:v>
                </c:pt>
                <c:pt idx="1">
                  <c:v>Paquistão</c:v>
                </c:pt>
                <c:pt idx="2">
                  <c:v>Bangladesh</c:v>
                </c:pt>
                <c:pt idx="3">
                  <c:v>Filipinas</c:v>
                </c:pt>
                <c:pt idx="4">
                  <c:v>El Salvador</c:v>
                </c:pt>
                <c:pt idx="5">
                  <c:v>Egito</c:v>
                </c:pt>
                <c:pt idx="6">
                  <c:v>Sri Lanka</c:v>
                </c:pt>
                <c:pt idx="7">
                  <c:v>Guatemala</c:v>
                </c:pt>
                <c:pt idx="8">
                  <c:v>Nigéria</c:v>
                </c:pt>
                <c:pt idx="9">
                  <c:v>Índia</c:v>
                </c:pt>
                <c:pt idx="10">
                  <c:v>África do Sul</c:v>
                </c:pt>
                <c:pt idx="11">
                  <c:v>Marrocos</c:v>
                </c:pt>
                <c:pt idx="12">
                  <c:v>Líbano</c:v>
                </c:pt>
                <c:pt idx="13">
                  <c:v>Roménia</c:v>
                </c:pt>
                <c:pt idx="14">
                  <c:v>Coreia</c:v>
                </c:pt>
                <c:pt idx="15">
                  <c:v>México</c:v>
                </c:pt>
                <c:pt idx="16">
                  <c:v>Itália</c:v>
                </c:pt>
                <c:pt idx="17">
                  <c:v>Ucrânia</c:v>
                </c:pt>
                <c:pt idx="18">
                  <c:v>Polónia</c:v>
                </c:pt>
                <c:pt idx="19">
                  <c:v>França</c:v>
                </c:pt>
                <c:pt idx="20">
                  <c:v>Alemanha</c:v>
                </c:pt>
                <c:pt idx="21">
                  <c:v>Tailândia</c:v>
                </c:pt>
                <c:pt idx="22">
                  <c:v>Indonésia</c:v>
                </c:pt>
                <c:pt idx="23">
                  <c:v>Portugal</c:v>
                </c:pt>
                <c:pt idx="24">
                  <c:v>Espanha</c:v>
                </c:pt>
                <c:pt idx="25">
                  <c:v>Colômbia</c:v>
                </c:pt>
                <c:pt idx="26">
                  <c:v>China</c:v>
                </c:pt>
                <c:pt idx="27">
                  <c:v>Rússia</c:v>
                </c:pt>
                <c:pt idx="28">
                  <c:v>EUA</c:v>
                </c:pt>
                <c:pt idx="29">
                  <c:v>Bélgica</c:v>
                </c:pt>
              </c:strCache>
            </c:strRef>
          </c:cat>
          <c:val>
            <c:numRef>
              <c:f>'Quadro 9'!$J$5:$J$34</c:f>
              <c:numCache>
                <c:formatCode>#\ ##0.0</c:formatCode>
                <c:ptCount val="30"/>
                <c:pt idx="0">
                  <c:v>5210.4482636689199</c:v>
                </c:pt>
                <c:pt idx="1">
                  <c:v>1640.7789804142067</c:v>
                </c:pt>
                <c:pt idx="2">
                  <c:v>1195.2190170874283</c:v>
                </c:pt>
                <c:pt idx="3">
                  <c:v>880.97962102252416</c:v>
                </c:pt>
                <c:pt idx="4">
                  <c:v>841.34181394001132</c:v>
                </c:pt>
                <c:pt idx="5">
                  <c:v>687.57908281802906</c:v>
                </c:pt>
                <c:pt idx="6">
                  <c:v>668.1807880903591</c:v>
                </c:pt>
                <c:pt idx="7">
                  <c:v>437.77284070850328</c:v>
                </c:pt>
                <c:pt idx="8">
                  <c:v>290.56790012599242</c:v>
                </c:pt>
                <c:pt idx="9">
                  <c:v>286.80372240628571</c:v>
                </c:pt>
                <c:pt idx="10">
                  <c:v>233.5690842020239</c:v>
                </c:pt>
                <c:pt idx="11">
                  <c:v>228.99400091823287</c:v>
                </c:pt>
                <c:pt idx="12">
                  <c:v>188.09446681723327</c:v>
                </c:pt>
                <c:pt idx="13">
                  <c:v>181.52173913043478</c:v>
                </c:pt>
                <c:pt idx="14">
                  <c:v>169.51390278055612</c:v>
                </c:pt>
                <c:pt idx="15">
                  <c:v>151.20347198379349</c:v>
                </c:pt>
                <c:pt idx="16">
                  <c:v>109.57071712933866</c:v>
                </c:pt>
                <c:pt idx="17">
                  <c:v>107.86416443252904</c:v>
                </c:pt>
                <c:pt idx="18">
                  <c:v>103.49201611699745</c:v>
                </c:pt>
                <c:pt idx="19">
                  <c:v>77.078444786389454</c:v>
                </c:pt>
                <c:pt idx="20">
                  <c:v>51.29684171282635</c:v>
                </c:pt>
                <c:pt idx="21">
                  <c:v>44.094280093485629</c:v>
                </c:pt>
                <c:pt idx="22">
                  <c:v>36.763066659929521</c:v>
                </c:pt>
                <c:pt idx="23">
                  <c:v>29.181851731832094</c:v>
                </c:pt>
                <c:pt idx="24">
                  <c:v>26.639374053510185</c:v>
                </c:pt>
                <c:pt idx="25">
                  <c:v>25.67961288551588</c:v>
                </c:pt>
                <c:pt idx="26">
                  <c:v>15.473361181048299</c:v>
                </c:pt>
                <c:pt idx="27">
                  <c:v>11.424369830836344</c:v>
                </c:pt>
                <c:pt idx="28">
                  <c:v>3.0840571176210805</c:v>
                </c:pt>
                <c:pt idx="29">
                  <c:v>-528.05809891184867</c:v>
                </c:pt>
              </c:numCache>
            </c:numRef>
          </c:val>
          <c:extLst>
            <c:ext xmlns:c16="http://schemas.microsoft.com/office/drawing/2014/chart" uri="{C3380CC4-5D6E-409C-BE32-E72D297353CC}">
              <c16:uniqueId val="{00000004-3B90-4B25-BB0A-8547CAA5CA48}"/>
            </c:ext>
          </c:extLst>
        </c:ser>
        <c:dLbls>
          <c:showLegendKey val="0"/>
          <c:showVal val="0"/>
          <c:showCatName val="0"/>
          <c:showSerName val="0"/>
          <c:showPercent val="0"/>
          <c:showBubbleSize val="0"/>
        </c:dLbls>
        <c:gapWidth val="50"/>
        <c:axId val="161831936"/>
        <c:axId val="159928832"/>
      </c:barChart>
      <c:catAx>
        <c:axId val="161831936"/>
        <c:scaling>
          <c:orientation val="maxMin"/>
        </c:scaling>
        <c:delete val="0"/>
        <c:axPos val="l"/>
        <c:numFmt formatCode="General" sourceLinked="1"/>
        <c:majorTickMark val="none"/>
        <c:minorTickMark val="none"/>
        <c:tickLblPos val="low"/>
        <c:spPr>
          <a:ln w="12700">
            <a:solidFill>
              <a:schemeClr val="tx1"/>
            </a:solidFill>
          </a:ln>
        </c:spPr>
        <c:crossAx val="159928832"/>
        <c:crosses val="autoZero"/>
        <c:auto val="1"/>
        <c:lblAlgn val="ctr"/>
        <c:lblOffset val="100"/>
        <c:noMultiLvlLbl val="0"/>
      </c:catAx>
      <c:valAx>
        <c:axId val="159928832"/>
        <c:scaling>
          <c:orientation val="minMax"/>
        </c:scaling>
        <c:delete val="0"/>
        <c:axPos val="b"/>
        <c:majorGridlines>
          <c:spPr>
            <a:ln w="15875">
              <a:solidFill>
                <a:schemeClr val="bg1"/>
              </a:solidFill>
            </a:ln>
          </c:spPr>
        </c:majorGridlines>
        <c:numFmt formatCode="0" sourceLinked="0"/>
        <c:majorTickMark val="out"/>
        <c:minorTickMark val="none"/>
        <c:tickLblPos val="nextTo"/>
        <c:spPr>
          <a:ln>
            <a:noFill/>
          </a:ln>
        </c:spPr>
        <c:crossAx val="161831936"/>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9525</xdr:rowOff>
    </xdr:from>
    <xdr:to>
      <xdr:col>5</xdr:col>
      <xdr:colOff>1114425</xdr:colOff>
      <xdr:row>22</xdr:row>
      <xdr:rowOff>0</xdr:rowOff>
    </xdr:to>
    <xdr:graphicFrame macro="">
      <xdr:nvGraphicFramePr>
        <xdr:cNvPr id="102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38100</xdr:colOff>
      <xdr:row>3</xdr:row>
      <xdr:rowOff>9525</xdr:rowOff>
    </xdr:from>
    <xdr:to>
      <xdr:col>5</xdr:col>
      <xdr:colOff>1114425</xdr:colOff>
      <xdr:row>22</xdr:row>
      <xdr:rowOff>0</xdr:rowOff>
    </xdr:to>
    <xdr:graphicFrame macro="">
      <xdr:nvGraphicFramePr>
        <xdr:cNvPr id="921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190500</xdr:rowOff>
    </xdr:from>
    <xdr:to>
      <xdr:col>5</xdr:col>
      <xdr:colOff>1114425</xdr:colOff>
      <xdr:row>22</xdr:row>
      <xdr:rowOff>9525</xdr:rowOff>
    </xdr:to>
    <xdr:graphicFrame macro="">
      <xdr:nvGraphicFramePr>
        <xdr:cNvPr id="20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3</xdr:row>
      <xdr:rowOff>0</xdr:rowOff>
    </xdr:from>
    <xdr:to>
      <xdr:col>5</xdr:col>
      <xdr:colOff>1114425</xdr:colOff>
      <xdr:row>32</xdr:row>
      <xdr:rowOff>0</xdr:rowOff>
    </xdr:to>
    <xdr:graphicFrame macro="">
      <xdr:nvGraphicFramePr>
        <xdr:cNvPr id="30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3</xdr:row>
      <xdr:rowOff>9525</xdr:rowOff>
    </xdr:from>
    <xdr:to>
      <xdr:col>5</xdr:col>
      <xdr:colOff>1114425</xdr:colOff>
      <xdr:row>32</xdr:row>
      <xdr:rowOff>0</xdr:rowOff>
    </xdr:to>
    <xdr:graphicFrame macro="">
      <xdr:nvGraphicFramePr>
        <xdr:cNvPr id="409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22</xdr:row>
      <xdr:rowOff>9525</xdr:rowOff>
    </xdr:to>
    <xdr:graphicFrame macro="">
      <xdr:nvGraphicFramePr>
        <xdr:cNvPr id="512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0.85983</cdr:x>
      <cdr:y>0.03398</cdr:y>
    </cdr:from>
    <cdr:to>
      <cdr:x>0.89213</cdr:x>
      <cdr:y>0.97638</cdr:y>
    </cdr:to>
    <cdr:sp macro="" textlink="">
      <cdr:nvSpPr>
        <cdr:cNvPr id="12" name="Rectangle 11"/>
        <cdr:cNvSpPr/>
      </cdr:nvSpPr>
      <cdr:spPr>
        <a:xfrm xmlns:a="http://schemas.openxmlformats.org/drawingml/2006/main">
          <a:off x="4791075" y="123300"/>
          <a:ext cx="180000" cy="3420000"/>
        </a:xfrm>
        <a:prstGeom xmlns:a="http://schemas.openxmlformats.org/drawingml/2006/main" prst="rect">
          <a:avLst/>
        </a:prstGeom>
        <a:solidFill xmlns:a="http://schemas.openxmlformats.org/drawingml/2006/main">
          <a:schemeClr val="accent1">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dr:relSizeAnchor xmlns:cdr="http://schemas.openxmlformats.org/drawingml/2006/chartDrawing">
    <cdr:from>
      <cdr:x>0.90427</cdr:x>
      <cdr:y>0.93176</cdr:y>
    </cdr:from>
    <cdr:to>
      <cdr:x>0.99316</cdr:x>
      <cdr:y>0.98688</cdr:y>
    </cdr:to>
    <cdr:sp macro="" textlink="">
      <cdr:nvSpPr>
        <cdr:cNvPr id="15" name="TextBox 14"/>
        <cdr:cNvSpPr txBox="1"/>
      </cdr:nvSpPr>
      <cdr:spPr>
        <a:xfrm xmlns:a="http://schemas.openxmlformats.org/drawingml/2006/main">
          <a:off x="5038725" y="3381375"/>
          <a:ext cx="495300" cy="200025"/>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pt-PT" sz="800">
              <a:latin typeface="Arial" pitchFamily="34" charset="0"/>
              <a:cs typeface="Arial" pitchFamily="34" charset="0"/>
            </a:rPr>
            <a:t>2.031</a:t>
          </a:r>
        </a:p>
      </cdr:txBody>
    </cdr:sp>
  </cdr:relSizeAnchor>
  <cdr:relSizeAnchor xmlns:cdr="http://schemas.openxmlformats.org/drawingml/2006/chartDrawing">
    <cdr:from>
      <cdr:x>0.85869</cdr:x>
      <cdr:y>0.02975</cdr:y>
    </cdr:from>
    <cdr:to>
      <cdr:x>0.89288</cdr:x>
      <cdr:y>0.13473</cdr:y>
    </cdr:to>
    <cdr:cxnSp macro="">
      <cdr:nvCxnSpPr>
        <cdr:cNvPr id="4" name="Elbow Connector 3"/>
        <cdr:cNvCxnSpPr/>
      </cdr:nvCxnSpPr>
      <cdr:spPr>
        <a:xfrm xmlns:a="http://schemas.openxmlformats.org/drawingml/2006/main">
          <a:off x="4784725" y="107950"/>
          <a:ext cx="190500" cy="381000"/>
        </a:xfrm>
        <a:prstGeom xmlns:a="http://schemas.openxmlformats.org/drawingml/2006/main" prst="bentConnector3">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1</xdr:col>
      <xdr:colOff>28575</xdr:colOff>
      <xdr:row>3</xdr:row>
      <xdr:rowOff>9525</xdr:rowOff>
    </xdr:from>
    <xdr:to>
      <xdr:col>5</xdr:col>
      <xdr:colOff>1114425</xdr:colOff>
      <xdr:row>22</xdr:row>
      <xdr:rowOff>0</xdr:rowOff>
    </xdr:to>
    <xdr:graphicFrame macro="">
      <xdr:nvGraphicFramePr>
        <xdr:cNvPr id="614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47625</xdr:colOff>
      <xdr:row>3</xdr:row>
      <xdr:rowOff>9525</xdr:rowOff>
    </xdr:from>
    <xdr:to>
      <xdr:col>5</xdr:col>
      <xdr:colOff>1114425</xdr:colOff>
      <xdr:row>22</xdr:row>
      <xdr:rowOff>0</xdr:rowOff>
    </xdr:to>
    <xdr:graphicFrame macro="">
      <xdr:nvGraphicFramePr>
        <xdr:cNvPr id="716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3</xdr:row>
      <xdr:rowOff>9525</xdr:rowOff>
    </xdr:from>
    <xdr:to>
      <xdr:col>5</xdr:col>
      <xdr:colOff>1114425</xdr:colOff>
      <xdr:row>22</xdr:row>
      <xdr:rowOff>0</xdr:rowOff>
    </xdr:to>
    <xdr:graphicFrame macro="">
      <xdr:nvGraphicFramePr>
        <xdr:cNvPr id="819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bservatorioemigracao.pt/np4/4006.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observatorioemigracao.pt/np4/4006.html"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http://observatorioemigracao.pt/np4/4006.htm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hyperlink" Target="http://observatorioemigracao.pt/np4/4006.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observatorioemigracao.pt/np4/4006.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hyperlink" Target="http://observatorioemigracao.pt/np4/4006.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3.bin"/><Relationship Id="rId1" Type="http://schemas.openxmlformats.org/officeDocument/2006/relationships/hyperlink" Target="http://observatorioemigracao.pt/np4/4006.html"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hyperlink" Target="http://observatorioemigracao.pt/np4/4006.html"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hyperlink" Target="http://observatorioemigracao.pt/np4/4006.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6.bin"/><Relationship Id="rId1" Type="http://schemas.openxmlformats.org/officeDocument/2006/relationships/hyperlink" Target="http://www.observatorioemigracao.pt/np4/4006.htm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7.bin"/><Relationship Id="rId1" Type="http://schemas.openxmlformats.org/officeDocument/2006/relationships/hyperlink" Target="http://observatorioemigracao.pt/np4/400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bservatorioemigracao.pt/np4/4006.htm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observatorioemigracao.pt/np4/4006.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bservatorioemigracao.pt/np4/4006.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bservatorioemigracao.pt/np4/4006.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observatorioemigracao.pt/np4/4006.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observatorioemigracao.pt/np4/4006.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observatorioemigracao.pt/np4/4006.ht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observatorioemigracao.pt/np4/4006.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observatorioemigracao.pt/np4/400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tabSelected="1" topLeftCell="A7" workbookViewId="0">
      <selection activeCell="E16" sqref="E16"/>
    </sheetView>
  </sheetViews>
  <sheetFormatPr defaultColWidth="8.7109375" defaultRowHeight="12" customHeight="1" x14ac:dyDescent="0.25"/>
  <cols>
    <col min="1" max="1" width="12.7109375" style="193" customWidth="1"/>
    <col min="2" max="2" width="19.140625" style="208" customWidth="1"/>
    <col min="3" max="4" width="16.7109375" style="203" customWidth="1"/>
    <col min="5" max="7" width="16.7109375" style="193" customWidth="1"/>
    <col min="8" max="8" width="8.7109375" style="232" customWidth="1"/>
    <col min="9" max="16384" width="8.7109375" style="193"/>
  </cols>
  <sheetData>
    <row r="1" spans="1:13" s="174" customFormat="1" ht="30" customHeight="1" x14ac:dyDescent="0.25">
      <c r="A1" s="192" t="s">
        <v>0</v>
      </c>
      <c r="B1" s="387" t="s">
        <v>1</v>
      </c>
      <c r="C1" s="388"/>
      <c r="D1" s="388"/>
      <c r="E1" s="194"/>
      <c r="F1" s="194"/>
      <c r="G1" s="194"/>
      <c r="H1" s="232"/>
      <c r="I1" s="194"/>
      <c r="J1" s="194"/>
      <c r="K1" s="194"/>
      <c r="L1" s="194"/>
      <c r="M1" s="194"/>
    </row>
    <row r="2" spans="1:13" s="196" customFormat="1" ht="45" customHeight="1" x14ac:dyDescent="0.25">
      <c r="A2" s="324"/>
      <c r="B2" s="391" t="s">
        <v>340</v>
      </c>
      <c r="C2" s="392"/>
      <c r="D2" s="392"/>
      <c r="E2" s="393"/>
      <c r="F2" s="393"/>
      <c r="G2" s="393"/>
      <c r="H2" s="394"/>
    </row>
    <row r="3" spans="1:13" s="196" customFormat="1" ht="30" customHeight="1" x14ac:dyDescent="0.25">
      <c r="A3" s="195"/>
      <c r="B3" s="321"/>
      <c r="C3" s="322"/>
      <c r="D3" s="322"/>
      <c r="E3" s="325"/>
      <c r="F3" s="323"/>
      <c r="G3" s="323"/>
      <c r="H3" s="247"/>
    </row>
    <row r="4" spans="1:13" s="197" customFormat="1" ht="30" customHeight="1" x14ac:dyDescent="0.25">
      <c r="B4" s="389" t="str">
        <f>'Quadro 1'!B2</f>
        <v>Quadro 1  Remessas recebidas em Portugal e enviadas de Portugal, por países de destino e origem das transferências, 2013</v>
      </c>
      <c r="C4" s="390"/>
      <c r="D4" s="390"/>
      <c r="E4" s="395" t="str">
        <f>'Gráfico 1'!B2</f>
        <v>Gráfico 1  Remessas recebidas em Portugal, principais países de origem das transferências, 2013</v>
      </c>
      <c r="F4" s="396"/>
      <c r="G4" s="396"/>
      <c r="H4" s="231"/>
    </row>
    <row r="5" spans="1:13" s="197" customFormat="1" ht="30" customHeight="1" x14ac:dyDescent="0.25">
      <c r="B5" s="389" t="str">
        <f>'Quadro 2'!B2</f>
        <v>Quadro 2  Remessas recebidas em Portugal por país de origem das transferências, 2013 (quadro ordenado pelos valores da transferência)</v>
      </c>
      <c r="C5" s="390"/>
      <c r="D5" s="390"/>
      <c r="E5" s="395" t="str">
        <f>'Gráfico 2'!B2</f>
        <v>Gráfico 2  Remessas enviadas de Portugal, principais países de destino das transferências, 2013</v>
      </c>
      <c r="F5" s="397"/>
      <c r="G5" s="397"/>
      <c r="H5" s="231"/>
    </row>
    <row r="6" spans="1:13" s="197" customFormat="1" ht="30" customHeight="1" x14ac:dyDescent="0.25">
      <c r="B6" s="389" t="str">
        <f>'Quadro 3'!B2:E2</f>
        <v>Quadro 3  Remessas enviadas de Portugal por país de destino das transferências, 2013 (quadro ordenado pelos valores da transferência)</v>
      </c>
      <c r="C6" s="390"/>
      <c r="D6" s="390"/>
      <c r="E6" s="395" t="str">
        <f>'Gráfico 3'!B2</f>
        <v>Gráfico 3  Saldos das remessas recebidas em Portugal e enviadas de Portugal, principais países, 2013</v>
      </c>
      <c r="F6" s="397"/>
      <c r="G6" s="397"/>
      <c r="H6" s="231"/>
    </row>
    <row r="7" spans="1:13" s="197" customFormat="1" ht="45" customHeight="1" x14ac:dyDescent="0.25">
      <c r="B7" s="389" t="str">
        <f>'Quadro 4'!B2:H2</f>
        <v>Quadro 4  Relação entre remessas recebidas em Portugal e enviadas de Portugal, principais países, 2013</v>
      </c>
      <c r="C7" s="390"/>
      <c r="D7" s="390"/>
      <c r="E7" s="395" t="str">
        <f>'Gráfico 4'!B2</f>
        <v>Gráfico 4  Evolução das remessas recebidas em Portugal, em milhares de euros e em percentagem do PIB, das exportações e do investimento direto estrangeiro, 1996-2013</v>
      </c>
      <c r="F7" s="395"/>
      <c r="G7" s="395"/>
      <c r="H7" s="230"/>
    </row>
    <row r="8" spans="1:13" s="198" customFormat="1" ht="45" customHeight="1" x14ac:dyDescent="0.2">
      <c r="A8" s="197"/>
      <c r="B8" s="389" t="str">
        <f>'Quadro 5'!B2:M2</f>
        <v>Quadro 5  Comparação entre a evolução das remessas recebidas em Portugal e a evolução do PIB, das exportações e do investimento direto estrangeiro, 1996-2013</v>
      </c>
      <c r="C8" s="390"/>
      <c r="D8" s="390"/>
      <c r="E8" s="395" t="str">
        <f>'Gráfico 5'!B2</f>
        <v>Gráfico 5  Evolução das remessas recebidas em Portugal, principais países de origem das transferências, 2002-2013</v>
      </c>
      <c r="F8" s="395"/>
      <c r="G8" s="395"/>
      <c r="H8" s="231"/>
    </row>
    <row r="9" spans="1:13" s="198" customFormat="1" ht="30" customHeight="1" x14ac:dyDescent="0.2">
      <c r="A9" s="197"/>
      <c r="B9" s="389" t="str">
        <f>'Quadro 6'!B2:O2</f>
        <v>Quadro 6  Evolução das remessas recebidas em Portugal por países de origem das transferências, 2001-2013</v>
      </c>
      <c r="C9" s="390"/>
      <c r="D9" s="390"/>
      <c r="E9" s="395" t="str">
        <f>'Gráfico 6'!B2</f>
        <v>Gráfico 6  Remessas de emigrantes, principais países de destino das transferências, 2012</v>
      </c>
      <c r="F9" s="395"/>
      <c r="G9" s="395"/>
      <c r="H9" s="231"/>
    </row>
    <row r="10" spans="1:13" s="198" customFormat="1" ht="45" customHeight="1" x14ac:dyDescent="0.25">
      <c r="A10" s="197"/>
      <c r="B10" s="389" t="str">
        <f>'Quadro 7'!B2:P2</f>
        <v>Quadro 7  Evolução das remessas recebidas em Portugal por principais países de origem das transferências, 2001-2013 (evolução em termos absolutos e relativos, 2002=100)</v>
      </c>
      <c r="C10" s="390"/>
      <c r="D10" s="390"/>
      <c r="E10" s="395" t="str">
        <f>'Gráfico 7'!B2</f>
        <v>Gráfico 7  Remessas de emigrantes em percentagem do PIB, principais países de destino das transferências, 2012</v>
      </c>
      <c r="F10" s="395"/>
      <c r="G10" s="395"/>
      <c r="H10"/>
    </row>
    <row r="11" spans="1:13" s="198" customFormat="1" ht="45" customHeight="1" x14ac:dyDescent="0.2">
      <c r="A11" s="197"/>
      <c r="B11" s="401" t="str">
        <f>'Quadro 8'!B2</f>
        <v>Quadro 8  Remessas de emigrantes por países de destino das transferências, 2012 (em valor e em percentagem do PIB, das exportações e do investimento direto estrangeiro)</v>
      </c>
      <c r="C11" s="402"/>
      <c r="D11" s="402"/>
      <c r="E11" s="395" t="str">
        <f>'Gráfico 8'!B2</f>
        <v>Gráfico 8  Remessas de emigrantes em percentagem das exportações, principais países de destino das transferências, 2012</v>
      </c>
      <c r="F11" s="395"/>
      <c r="G11" s="395"/>
      <c r="H11" s="231"/>
    </row>
    <row r="12" spans="1:13" s="198" customFormat="1" ht="45" customHeight="1" x14ac:dyDescent="0.2">
      <c r="A12" s="197"/>
      <c r="B12" s="389" t="str">
        <f>'Quadro 9'!B2</f>
        <v>Quadro 9  Remessas de emigrantes, principais países de destino das transferências, 2012 (quadros ordenados por valor e por percentagem do PIB, das exportações e do investimento direto estrangeiro)</v>
      </c>
      <c r="C12" s="390"/>
      <c r="D12" s="390"/>
      <c r="E12" s="395" t="str">
        <f>'Gráfico 9'!B2</f>
        <v>Gráfico 9  Remessas de emigrantes em percentagem do investimento direto estrangeiro, principais países de destino das transferências, 2012</v>
      </c>
      <c r="F12" s="397"/>
      <c r="G12" s="397"/>
      <c r="H12" s="231"/>
    </row>
    <row r="13" spans="1:13" s="198" customFormat="1" ht="30" customHeight="1" x14ac:dyDescent="0.2">
      <c r="A13" s="197"/>
      <c r="B13" s="403"/>
      <c r="C13" s="403"/>
      <c r="D13" s="403"/>
      <c r="E13" s="379"/>
      <c r="F13" s="380"/>
      <c r="G13" s="380"/>
      <c r="H13" s="231"/>
    </row>
    <row r="14" spans="1:13" s="198" customFormat="1" ht="15" customHeight="1" x14ac:dyDescent="0.2">
      <c r="A14" s="197"/>
      <c r="B14" s="401" t="str">
        <f>Metainformação!B2</f>
        <v>Metainformação</v>
      </c>
      <c r="C14" s="402"/>
      <c r="D14" s="402"/>
      <c r="E14" s="379"/>
      <c r="F14" s="380"/>
      <c r="G14" s="380"/>
      <c r="H14" s="230"/>
    </row>
    <row r="15" spans="1:13" ht="45" customHeight="1" x14ac:dyDescent="0.25">
      <c r="A15" s="384" t="s">
        <v>282</v>
      </c>
      <c r="B15" s="382" t="s">
        <v>323</v>
      </c>
      <c r="C15" s="383"/>
      <c r="D15" s="383"/>
      <c r="E15" s="214"/>
      <c r="F15" s="227"/>
      <c r="G15" s="227"/>
    </row>
    <row r="16" spans="1:13" s="214" customFormat="1" ht="45" customHeight="1" x14ac:dyDescent="0.25">
      <c r="A16" s="364" t="s">
        <v>4</v>
      </c>
      <c r="B16" s="498" t="s">
        <v>344</v>
      </c>
      <c r="C16" s="400"/>
      <c r="D16" s="400"/>
      <c r="E16" s="381"/>
      <c r="F16" s="381"/>
      <c r="G16" s="381"/>
      <c r="H16" s="232"/>
    </row>
    <row r="17" spans="2:8" ht="45" customHeight="1" x14ac:dyDescent="0.25">
      <c r="B17" s="398" t="s">
        <v>325</v>
      </c>
      <c r="C17" s="399"/>
      <c r="D17" s="399"/>
      <c r="E17" s="399"/>
      <c r="F17" s="385"/>
      <c r="G17" s="386"/>
      <c r="H17" s="320"/>
    </row>
    <row r="18" spans="2:8" ht="15" customHeight="1" x14ac:dyDescent="0.25"/>
    <row r="19" spans="2:8" ht="15" customHeight="1" x14ac:dyDescent="0.25"/>
    <row r="20" spans="2:8" ht="15" customHeight="1" x14ac:dyDescent="0.25"/>
    <row r="21" spans="2:8" ht="15" customHeight="1" x14ac:dyDescent="0.25"/>
    <row r="22" spans="2:8" ht="15" customHeight="1" x14ac:dyDescent="0.25"/>
    <row r="23" spans="2:8" ht="15" customHeight="1" x14ac:dyDescent="0.25"/>
    <row r="24" spans="2:8" ht="15" customHeight="1" x14ac:dyDescent="0.25"/>
    <row r="25" spans="2:8" ht="15" customHeight="1" x14ac:dyDescent="0.25"/>
    <row r="26" spans="2:8" ht="15" customHeight="1" x14ac:dyDescent="0.25"/>
    <row r="27" spans="2:8" ht="15" customHeight="1" x14ac:dyDescent="0.25"/>
    <row r="28" spans="2:8" ht="15" customHeight="1" x14ac:dyDescent="0.25"/>
  </sheetData>
  <mergeCells count="24">
    <mergeCell ref="B17:E17"/>
    <mergeCell ref="B16:D16"/>
    <mergeCell ref="B7:D7"/>
    <mergeCell ref="E9:G9"/>
    <mergeCell ref="E10:G10"/>
    <mergeCell ref="B11:D11"/>
    <mergeCell ref="B8:D8"/>
    <mergeCell ref="B9:D9"/>
    <mergeCell ref="B10:D10"/>
    <mergeCell ref="B14:D14"/>
    <mergeCell ref="B12:D12"/>
    <mergeCell ref="B13:D13"/>
    <mergeCell ref="E11:G11"/>
    <mergeCell ref="E12:G12"/>
    <mergeCell ref="E7:G7"/>
    <mergeCell ref="E8:G8"/>
    <mergeCell ref="B1:D1"/>
    <mergeCell ref="B4:D4"/>
    <mergeCell ref="B5:D5"/>
    <mergeCell ref="B6:D6"/>
    <mergeCell ref="B2:H2"/>
    <mergeCell ref="E4:G4"/>
    <mergeCell ref="E5:G5"/>
    <mergeCell ref="E6:G6"/>
  </mergeCells>
  <hyperlinks>
    <hyperlink ref="B4:D4" location="'Quadro 1'!B2" display="'Quadro 1'!B2"/>
    <hyperlink ref="B5:D5" location="'Quadro 2'!B2" display="'Quadro 2'!B2"/>
    <hyperlink ref="B6:D6" location="'Quadro 3'!B2" display="'Quadro 3'!B2"/>
    <hyperlink ref="B7:D7" location="'Quadro 4'!B2" display="'Quadro 4'!B2"/>
    <hyperlink ref="B8:D8" location="'Quadro 5'!B2" display="'Quadro 5'!B2"/>
    <hyperlink ref="B9:D9" location="'Quadro 6'!B2" display="'Quadro 6'!B2"/>
    <hyperlink ref="B10:D10" location="'Quadro 7'!B2" display="'Quadro 7'!B2"/>
    <hyperlink ref="B11:D11" location="'Quadro 8'!B2" display="'Quadro 8'!B2"/>
    <hyperlink ref="B12:D12" location="'Quadro 9'!B2" display="'Quadro 9'!B2"/>
    <hyperlink ref="E4:G4" location="'Gráfico 1'!A1" display="'Gráfico 1'!A1"/>
    <hyperlink ref="E5:G5" location="'Gráfico 2'!A1" display="'Gráfico 2'!A1"/>
    <hyperlink ref="E6:G6" location="'Gráfico 3'!A1" display="'Gráfico 3'!A1"/>
    <hyperlink ref="E12:G12" location="'Gráfico 9'!A1" display="'Gráfico 9'!A1"/>
    <hyperlink ref="B14:D14" location="Metainformação!B2" display="Metainformação!B2"/>
    <hyperlink ref="E11:G11" location="'Gráfico 8'!A1" display="'Gráfico 8'!A1"/>
    <hyperlink ref="E10:G10" location="'Gráfico 7'!A1" display="'Gráfico 7'!A1"/>
    <hyperlink ref="E9:G9" location="'Gráfico 6'!A1" display="'Gráfico 6'!A1"/>
    <hyperlink ref="E8:G8" location="'Gráfico 5'!A1" display="'Gráfico 5'!A1"/>
    <hyperlink ref="E7:G7" location="'Gráfico 4'!A1" display="'Gráfico 4'!A1"/>
    <hyperlink ref="B16"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54"/>
  <sheetViews>
    <sheetView showGridLines="0" topLeftCell="A19" workbookViewId="0">
      <selection activeCell="E39" sqref="E39"/>
    </sheetView>
  </sheetViews>
  <sheetFormatPr defaultRowHeight="15" x14ac:dyDescent="0.25"/>
  <cols>
    <col min="1" max="1" width="12.7109375" style="77" customWidth="1"/>
    <col min="2" max="2" width="8.7109375" style="77" customWidth="1"/>
    <col min="3" max="7" width="16.7109375" style="109" customWidth="1"/>
    <col min="8" max="10" width="16.7109375" style="77" customWidth="1"/>
    <col min="11" max="16384" width="9.140625" style="77"/>
  </cols>
  <sheetData>
    <row r="1" spans="1:144" s="78" customFormat="1" ht="30" customHeight="1" x14ac:dyDescent="0.25">
      <c r="A1" s="99" t="s">
        <v>0</v>
      </c>
      <c r="B1" s="281" t="s">
        <v>1</v>
      </c>
      <c r="C1" s="375"/>
      <c r="D1" s="375"/>
      <c r="E1" s="282"/>
      <c r="F1" s="282"/>
      <c r="G1" s="282"/>
      <c r="H1" s="124"/>
      <c r="J1" s="283" t="s">
        <v>269</v>
      </c>
    </row>
    <row r="2" spans="1:144" s="78" customFormat="1" ht="45" customHeight="1" x14ac:dyDescent="0.25">
      <c r="B2" s="460" t="s">
        <v>306</v>
      </c>
      <c r="C2" s="461"/>
      <c r="D2" s="461"/>
      <c r="E2" s="461"/>
      <c r="F2" s="461"/>
      <c r="G2" s="461"/>
      <c r="H2" s="462"/>
      <c r="I2" s="462"/>
      <c r="J2" s="463"/>
    </row>
    <row r="3" spans="1:144" s="78" customFormat="1" ht="15" customHeight="1" thickBot="1" x14ac:dyDescent="0.3">
      <c r="B3" s="456" t="s">
        <v>260</v>
      </c>
      <c r="C3" s="457"/>
      <c r="D3" s="457"/>
      <c r="E3" s="457"/>
      <c r="F3" s="457"/>
      <c r="G3" s="457"/>
      <c r="H3" s="458"/>
      <c r="I3" s="458"/>
      <c r="J3" s="459"/>
    </row>
    <row r="4" spans="1:144" s="78" customFormat="1" ht="45" customHeight="1" x14ac:dyDescent="0.25">
      <c r="B4" s="311" t="s">
        <v>273</v>
      </c>
      <c r="C4" s="79" t="s">
        <v>62</v>
      </c>
      <c r="D4" s="88" t="s">
        <v>234</v>
      </c>
      <c r="E4" s="143" t="s">
        <v>62</v>
      </c>
      <c r="F4" s="147" t="s">
        <v>232</v>
      </c>
      <c r="G4" s="79" t="s">
        <v>62</v>
      </c>
      <c r="H4" s="88" t="s">
        <v>233</v>
      </c>
      <c r="I4" s="297" t="s">
        <v>62</v>
      </c>
      <c r="J4" s="298" t="s">
        <v>307</v>
      </c>
    </row>
    <row r="5" spans="1:144" s="179" customFormat="1" ht="15" customHeight="1" x14ac:dyDescent="0.25">
      <c r="A5" s="77"/>
      <c r="B5" s="312">
        <v>1</v>
      </c>
      <c r="C5" s="107" t="s">
        <v>39</v>
      </c>
      <c r="D5" s="181">
        <v>68820517.837653592</v>
      </c>
      <c r="E5" s="182" t="s">
        <v>114</v>
      </c>
      <c r="F5" s="183">
        <v>25.277795921064062</v>
      </c>
      <c r="G5" s="107" t="s">
        <v>114</v>
      </c>
      <c r="H5" s="184">
        <v>252.346</v>
      </c>
      <c r="I5" s="291" t="s">
        <v>114</v>
      </c>
      <c r="J5" s="299">
        <v>5210.4482636689199</v>
      </c>
      <c r="K5" s="77"/>
      <c r="L5" s="77"/>
      <c r="M5"/>
      <c r="N5"/>
      <c r="O5"/>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row>
    <row r="6" spans="1:144" ht="15" customHeight="1" x14ac:dyDescent="0.25">
      <c r="B6" s="313">
        <v>2</v>
      </c>
      <c r="C6" s="140" t="s">
        <v>24</v>
      </c>
      <c r="D6" s="145">
        <v>39221093.634999998</v>
      </c>
      <c r="E6" s="144" t="s">
        <v>97</v>
      </c>
      <c r="F6" s="148">
        <v>16.4566469573926</v>
      </c>
      <c r="G6" s="140" t="s">
        <v>97</v>
      </c>
      <c r="H6" s="150">
        <v>58.037999999999997</v>
      </c>
      <c r="I6" s="292" t="s">
        <v>196</v>
      </c>
      <c r="J6" s="300">
        <v>1640.7789804142067</v>
      </c>
      <c r="M6"/>
      <c r="N6"/>
      <c r="O6"/>
    </row>
    <row r="7" spans="1:144" s="179" customFormat="1" ht="15" customHeight="1" x14ac:dyDescent="0.25">
      <c r="A7" s="77"/>
      <c r="B7" s="312">
        <v>3</v>
      </c>
      <c r="C7" s="107" t="s">
        <v>200</v>
      </c>
      <c r="D7" s="181">
        <v>24641000</v>
      </c>
      <c r="E7" s="182" t="s">
        <v>176</v>
      </c>
      <c r="F7" s="183">
        <v>16.109065925551761</v>
      </c>
      <c r="G7" s="107" t="s">
        <v>176</v>
      </c>
      <c r="H7" s="184">
        <v>56.179000000000002</v>
      </c>
      <c r="I7" s="293" t="s">
        <v>85</v>
      </c>
      <c r="J7" s="299">
        <v>1195.2190170874283</v>
      </c>
      <c r="K7" s="77"/>
      <c r="L7" s="77"/>
      <c r="M7"/>
      <c r="N7"/>
      <c r="O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row>
    <row r="8" spans="1:144" ht="15" customHeight="1" x14ac:dyDescent="0.25">
      <c r="B8" s="313">
        <v>4</v>
      </c>
      <c r="C8" s="140" t="s">
        <v>49</v>
      </c>
      <c r="D8" s="145">
        <v>23365990.956999999</v>
      </c>
      <c r="E8" s="144" t="s">
        <v>85</v>
      </c>
      <c r="F8" s="148">
        <v>12.105133021186361</v>
      </c>
      <c r="G8" s="140" t="s">
        <v>85</v>
      </c>
      <c r="H8" s="150">
        <v>52.241999999999997</v>
      </c>
      <c r="I8" s="292" t="s">
        <v>200</v>
      </c>
      <c r="J8" s="300">
        <v>880.97962102252416</v>
      </c>
      <c r="M8"/>
      <c r="N8"/>
      <c r="O8"/>
    </row>
    <row r="9" spans="1:144" s="179" customFormat="1" ht="15" customHeight="1" x14ac:dyDescent="0.25">
      <c r="A9" s="77"/>
      <c r="B9" s="312">
        <v>5</v>
      </c>
      <c r="C9" s="107" t="s">
        <v>34</v>
      </c>
      <c r="D9" s="181">
        <v>21675866.2140457</v>
      </c>
      <c r="E9" s="182" t="s">
        <v>122</v>
      </c>
      <c r="F9" s="183">
        <v>10.096345480496382</v>
      </c>
      <c r="G9" s="107" t="s">
        <v>196</v>
      </c>
      <c r="H9" s="184">
        <v>50.451000000000001</v>
      </c>
      <c r="I9" s="293" t="s">
        <v>97</v>
      </c>
      <c r="J9" s="299">
        <v>841.34181394001132</v>
      </c>
      <c r="K9" s="77"/>
      <c r="L9" s="77"/>
      <c r="M9"/>
      <c r="N9"/>
      <c r="O9"/>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row>
    <row r="10" spans="1:144" ht="15" customHeight="1" x14ac:dyDescent="0.25">
      <c r="B10" s="313">
        <v>6</v>
      </c>
      <c r="C10" s="140" t="s">
        <v>51</v>
      </c>
      <c r="D10" s="145">
        <v>20633319.233919602</v>
      </c>
      <c r="E10" s="144" t="s">
        <v>100</v>
      </c>
      <c r="F10" s="148">
        <v>10.022184449858656</v>
      </c>
      <c r="G10" s="140" t="s">
        <v>122</v>
      </c>
      <c r="H10" s="150">
        <v>44.276000000000003</v>
      </c>
      <c r="I10" s="292" t="s">
        <v>284</v>
      </c>
      <c r="J10" s="300">
        <v>687.57908281802906</v>
      </c>
      <c r="M10"/>
      <c r="N10"/>
      <c r="O10"/>
    </row>
    <row r="11" spans="1:144" s="179" customFormat="1" ht="15" customHeight="1" x14ac:dyDescent="0.25">
      <c r="A11" s="77"/>
      <c r="B11" s="312">
        <v>7</v>
      </c>
      <c r="C11" s="327" t="s">
        <v>284</v>
      </c>
      <c r="D11" s="181">
        <v>19236400</v>
      </c>
      <c r="E11" s="182" t="s">
        <v>200</v>
      </c>
      <c r="F11" s="183">
        <v>9.8492289939852693</v>
      </c>
      <c r="G11" s="327" t="s">
        <v>284</v>
      </c>
      <c r="H11" s="184">
        <v>41.993000000000002</v>
      </c>
      <c r="I11" s="293" t="s">
        <v>122</v>
      </c>
      <c r="J11" s="299">
        <v>668.1807880903591</v>
      </c>
      <c r="K11" s="77"/>
      <c r="L11" s="77"/>
      <c r="M11"/>
      <c r="N11"/>
      <c r="O11"/>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row>
    <row r="12" spans="1:144" ht="15" customHeight="1" x14ac:dyDescent="0.25">
      <c r="B12" s="313">
        <v>8</v>
      </c>
      <c r="C12" s="140" t="s">
        <v>85</v>
      </c>
      <c r="D12" s="145">
        <v>14084934.4675276</v>
      </c>
      <c r="E12" s="330" t="s">
        <v>284</v>
      </c>
      <c r="F12" s="148">
        <v>7.3188981546015262</v>
      </c>
      <c r="G12" s="140" t="s">
        <v>100</v>
      </c>
      <c r="H12" s="150">
        <v>40.173999999999999</v>
      </c>
      <c r="I12" s="292" t="s">
        <v>100</v>
      </c>
      <c r="J12" s="300">
        <v>437.77284070850328</v>
      </c>
      <c r="M12"/>
      <c r="N12"/>
      <c r="O12"/>
    </row>
    <row r="13" spans="1:144" s="179" customFormat="1" ht="15" customHeight="1" x14ac:dyDescent="0.25">
      <c r="A13" s="77"/>
      <c r="B13" s="312">
        <v>9</v>
      </c>
      <c r="C13" s="107" t="s">
        <v>196</v>
      </c>
      <c r="D13" s="181">
        <v>14007002</v>
      </c>
      <c r="E13" s="182" t="s">
        <v>48</v>
      </c>
      <c r="F13" s="183">
        <v>6.7803719728787195</v>
      </c>
      <c r="G13" s="107" t="s">
        <v>200</v>
      </c>
      <c r="H13" s="184">
        <v>31.972999999999999</v>
      </c>
      <c r="I13" s="293" t="s">
        <v>51</v>
      </c>
      <c r="J13" s="299">
        <v>290.56790012599242</v>
      </c>
      <c r="K13" s="77"/>
      <c r="L13" s="77"/>
      <c r="M13"/>
      <c r="N13"/>
      <c r="O13"/>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row>
    <row r="14" spans="1:144" ht="15" customHeight="1" x14ac:dyDescent="0.25">
      <c r="B14" s="313">
        <v>10</v>
      </c>
      <c r="C14" s="140" t="s">
        <v>12</v>
      </c>
      <c r="D14" s="145">
        <v>13963678.6145033</v>
      </c>
      <c r="E14" s="144" t="s">
        <v>196</v>
      </c>
      <c r="F14" s="148">
        <v>6.2213728299552313</v>
      </c>
      <c r="G14" s="140" t="s">
        <v>48</v>
      </c>
      <c r="H14" s="150">
        <v>18.739999999999998</v>
      </c>
      <c r="I14" s="292" t="s">
        <v>39</v>
      </c>
      <c r="J14" s="300">
        <v>286.80372240628571</v>
      </c>
      <c r="M14"/>
      <c r="N14"/>
      <c r="O14"/>
    </row>
    <row r="15" spans="1:144" s="179" customFormat="1" ht="15" customHeight="1" x14ac:dyDescent="0.25">
      <c r="A15" s="77"/>
      <c r="B15" s="312">
        <v>11</v>
      </c>
      <c r="C15" s="107" t="s">
        <v>11</v>
      </c>
      <c r="D15" s="181">
        <v>10846552.758510498</v>
      </c>
      <c r="E15" s="182" t="s">
        <v>59</v>
      </c>
      <c r="F15" s="183">
        <v>4.7921594206828155</v>
      </c>
      <c r="G15" s="107" t="s">
        <v>39</v>
      </c>
      <c r="H15" s="184">
        <v>15.43</v>
      </c>
      <c r="I15" s="293" t="s">
        <v>11</v>
      </c>
      <c r="J15" s="299">
        <v>233.5690842020239</v>
      </c>
      <c r="K15" s="77"/>
      <c r="L15" s="77"/>
      <c r="M15"/>
      <c r="N15"/>
      <c r="O15"/>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row>
    <row r="16" spans="1:144" ht="15" customHeight="1" x14ac:dyDescent="0.25">
      <c r="B16" s="313">
        <v>12</v>
      </c>
      <c r="C16" s="140" t="s">
        <v>19</v>
      </c>
      <c r="D16" s="145">
        <v>10123473.1372205</v>
      </c>
      <c r="E16" s="144" t="s">
        <v>51</v>
      </c>
      <c r="F16" s="148">
        <v>4.489252395009161</v>
      </c>
      <c r="G16" s="140" t="s">
        <v>51</v>
      </c>
      <c r="H16" s="150">
        <v>14.176</v>
      </c>
      <c r="I16" s="292" t="s">
        <v>48</v>
      </c>
      <c r="J16" s="300">
        <v>228.99400091823287</v>
      </c>
      <c r="M16"/>
      <c r="N16"/>
      <c r="O16"/>
    </row>
    <row r="17" spans="1:144" s="179" customFormat="1" ht="15" customHeight="1" x14ac:dyDescent="0.25">
      <c r="A17" s="77"/>
      <c r="B17" s="312">
        <v>13</v>
      </c>
      <c r="C17" s="107" t="s">
        <v>30</v>
      </c>
      <c r="D17" s="181">
        <v>9633131.3326696791</v>
      </c>
      <c r="E17" s="182" t="s">
        <v>39</v>
      </c>
      <c r="F17" s="183">
        <v>3.7025357994121837</v>
      </c>
      <c r="G17" s="107" t="s">
        <v>59</v>
      </c>
      <c r="H17" s="184">
        <v>9.4120000000000008</v>
      </c>
      <c r="I17" s="293" t="s">
        <v>176</v>
      </c>
      <c r="J17" s="299">
        <v>188.09446681723327</v>
      </c>
      <c r="K17" s="77"/>
      <c r="L17" s="77"/>
      <c r="M17"/>
      <c r="N17"/>
      <c r="O1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row>
    <row r="18" spans="1:144" ht="15" customHeight="1" x14ac:dyDescent="0.25">
      <c r="B18" s="313">
        <v>14</v>
      </c>
      <c r="C18" s="140" t="s">
        <v>173</v>
      </c>
      <c r="D18" s="145">
        <v>8474000</v>
      </c>
      <c r="E18" s="144" t="s">
        <v>53</v>
      </c>
      <c r="F18" s="148">
        <v>2.1688816703472376</v>
      </c>
      <c r="G18" s="140" t="s">
        <v>49</v>
      </c>
      <c r="H18" s="150">
        <v>6.0330000000000004</v>
      </c>
      <c r="I18" s="292" t="s">
        <v>53</v>
      </c>
      <c r="J18" s="300">
        <v>181.52173913043478</v>
      </c>
      <c r="M18"/>
      <c r="N18"/>
      <c r="O18"/>
    </row>
    <row r="19" spans="1:144" s="179" customFormat="1" ht="15" customHeight="1" x14ac:dyDescent="0.25">
      <c r="A19" s="77"/>
      <c r="B19" s="312">
        <v>15</v>
      </c>
      <c r="C19" s="107" t="s">
        <v>59</v>
      </c>
      <c r="D19" s="181">
        <v>8449000</v>
      </c>
      <c r="E19" s="182" t="s">
        <v>19</v>
      </c>
      <c r="F19" s="183">
        <v>2.0961685061758151</v>
      </c>
      <c r="G19" s="107" t="s">
        <v>149</v>
      </c>
      <c r="H19" s="184">
        <v>5.952</v>
      </c>
      <c r="I19" s="293" t="s">
        <v>173</v>
      </c>
      <c r="J19" s="299">
        <v>169.51390278055612</v>
      </c>
      <c r="K19" s="77"/>
      <c r="L19" s="77"/>
      <c r="M19"/>
      <c r="N19"/>
      <c r="O19"/>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row>
    <row r="20" spans="1:144" ht="15" customHeight="1" x14ac:dyDescent="0.25">
      <c r="B20" s="313">
        <v>16</v>
      </c>
      <c r="C20" s="140" t="s">
        <v>42</v>
      </c>
      <c r="D20" s="145">
        <v>7326336.2563865809</v>
      </c>
      <c r="E20" s="144" t="s">
        <v>49</v>
      </c>
      <c r="F20" s="148">
        <v>1.9833181935448319</v>
      </c>
      <c r="G20" s="140" t="s">
        <v>53</v>
      </c>
      <c r="H20" s="150">
        <v>5.423</v>
      </c>
      <c r="I20" s="292" t="s">
        <v>49</v>
      </c>
      <c r="J20" s="300">
        <v>151.20347198379349</v>
      </c>
      <c r="M20"/>
      <c r="N20"/>
      <c r="O20"/>
    </row>
    <row r="21" spans="1:144" s="179" customFormat="1" ht="15" customHeight="1" x14ac:dyDescent="0.25">
      <c r="A21" s="77"/>
      <c r="B21" s="312">
        <v>17</v>
      </c>
      <c r="C21" s="107" t="s">
        <v>167</v>
      </c>
      <c r="D21" s="181">
        <v>7212196.5775592001</v>
      </c>
      <c r="E21" s="305" t="s">
        <v>117</v>
      </c>
      <c r="F21" s="306">
        <v>1.8402147384970893</v>
      </c>
      <c r="G21" s="284" t="s">
        <v>117</v>
      </c>
      <c r="H21" s="307">
        <v>4.7560000000000002</v>
      </c>
      <c r="I21" s="293" t="s">
        <v>42</v>
      </c>
      <c r="J21" s="299">
        <v>109.57071712933866</v>
      </c>
      <c r="K21" s="77"/>
      <c r="L21" s="77"/>
      <c r="M21"/>
      <c r="N21"/>
      <c r="O21"/>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row>
    <row r="22" spans="1:144" ht="15" customHeight="1" x14ac:dyDescent="0.25">
      <c r="B22" s="313">
        <v>18</v>
      </c>
      <c r="C22" s="140" t="s">
        <v>6</v>
      </c>
      <c r="D22" s="145">
        <v>6935000</v>
      </c>
      <c r="E22" s="294" t="s">
        <v>6</v>
      </c>
      <c r="F22" s="304">
        <v>1.4158970813543765</v>
      </c>
      <c r="G22" s="301" t="s">
        <v>167</v>
      </c>
      <c r="H22" s="295">
        <v>3.3860000000000001</v>
      </c>
      <c r="I22" s="292" t="s">
        <v>59</v>
      </c>
      <c r="J22" s="300">
        <v>107.86416443252904</v>
      </c>
      <c r="M22"/>
      <c r="N22"/>
      <c r="O22"/>
    </row>
    <row r="23" spans="1:144" s="179" customFormat="1" ht="15" customHeight="1" x14ac:dyDescent="0.25">
      <c r="A23" s="77"/>
      <c r="B23" s="312">
        <v>19</v>
      </c>
      <c r="C23" s="107" t="s">
        <v>176</v>
      </c>
      <c r="D23" s="181">
        <v>6918082.4412618307</v>
      </c>
      <c r="E23" s="182" t="s">
        <v>216</v>
      </c>
      <c r="F23" s="183">
        <v>1.2879292054774549</v>
      </c>
      <c r="G23" s="107" t="s">
        <v>6</v>
      </c>
      <c r="H23" s="184">
        <v>3.0680000000000001</v>
      </c>
      <c r="I23" s="293" t="s">
        <v>6</v>
      </c>
      <c r="J23" s="299">
        <v>103.49201611699745</v>
      </c>
      <c r="K23" s="77"/>
      <c r="L23" s="77"/>
      <c r="M23"/>
      <c r="N23"/>
      <c r="O23"/>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row>
    <row r="24" spans="1:144" ht="15" customHeight="1" x14ac:dyDescent="0.25">
      <c r="B24" s="314">
        <v>20</v>
      </c>
      <c r="C24" s="142" t="s">
        <v>48</v>
      </c>
      <c r="D24" s="145">
        <v>6507907.64208226</v>
      </c>
      <c r="E24" s="144" t="s">
        <v>149</v>
      </c>
      <c r="F24" s="148">
        <v>1.0872851286307987</v>
      </c>
      <c r="G24" s="140" t="s">
        <v>34</v>
      </c>
      <c r="H24" s="150">
        <v>3.0259999999999998</v>
      </c>
      <c r="I24" s="292" t="s">
        <v>34</v>
      </c>
      <c r="J24" s="300">
        <v>77.078444786389454</v>
      </c>
      <c r="M24"/>
      <c r="N24"/>
      <c r="O24"/>
    </row>
    <row r="25" spans="1:144" s="179" customFormat="1" ht="15" customHeight="1" x14ac:dyDescent="0.25">
      <c r="A25" s="77"/>
      <c r="B25" s="312">
        <v>21</v>
      </c>
      <c r="C25" s="327" t="s">
        <v>31</v>
      </c>
      <c r="D25" s="181">
        <v>6285000</v>
      </c>
      <c r="E25" s="182" t="s">
        <v>34</v>
      </c>
      <c r="F25" s="183">
        <v>0.83011134704080758</v>
      </c>
      <c r="G25" s="107" t="s">
        <v>19</v>
      </c>
      <c r="H25" s="184">
        <v>2.4340000000000002</v>
      </c>
      <c r="I25" s="293" t="s">
        <v>12</v>
      </c>
      <c r="J25" s="299">
        <v>51.29684171282635</v>
      </c>
      <c r="K25" s="77"/>
      <c r="L25" s="77"/>
      <c r="M25"/>
      <c r="N25"/>
      <c r="O25"/>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row>
    <row r="26" spans="1:144" ht="15" customHeight="1" x14ac:dyDescent="0.25">
      <c r="B26" s="313">
        <v>22</v>
      </c>
      <c r="C26" s="140" t="s">
        <v>122</v>
      </c>
      <c r="D26" s="145">
        <v>5999552.3243749402</v>
      </c>
      <c r="E26" s="144" t="s">
        <v>167</v>
      </c>
      <c r="F26" s="148">
        <v>0.82139443609725826</v>
      </c>
      <c r="G26" s="140" t="s">
        <v>30</v>
      </c>
      <c r="H26" s="150">
        <v>2.2309999999999999</v>
      </c>
      <c r="I26" s="292" t="s">
        <v>216</v>
      </c>
      <c r="J26" s="300">
        <v>44.094280093485629</v>
      </c>
      <c r="M26"/>
      <c r="N26"/>
      <c r="O26"/>
    </row>
    <row r="27" spans="1:144" s="179" customFormat="1" ht="15" customHeight="1" x14ac:dyDescent="0.25">
      <c r="A27" s="77"/>
      <c r="B27" s="312">
        <v>23</v>
      </c>
      <c r="C27" s="107" t="s">
        <v>54</v>
      </c>
      <c r="D27" s="181">
        <v>5787700</v>
      </c>
      <c r="E27" s="182" t="s">
        <v>173</v>
      </c>
      <c r="F27" s="183">
        <v>0.75017820052614648</v>
      </c>
      <c r="G27" s="107" t="s">
        <v>24</v>
      </c>
      <c r="H27" s="184">
        <v>1.744</v>
      </c>
      <c r="I27" s="293" t="s">
        <v>167</v>
      </c>
      <c r="J27" s="299">
        <v>36.763066659929521</v>
      </c>
      <c r="K27" s="77"/>
      <c r="L27" s="77"/>
      <c r="M27"/>
      <c r="N27"/>
      <c r="O2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row>
    <row r="28" spans="1:144" ht="15" customHeight="1" x14ac:dyDescent="0.25">
      <c r="B28" s="313">
        <v>24</v>
      </c>
      <c r="C28" s="140" t="s">
        <v>100</v>
      </c>
      <c r="D28" s="145">
        <v>5034519</v>
      </c>
      <c r="E28" s="144" t="s">
        <v>30</v>
      </c>
      <c r="F28" s="148">
        <v>0.72861531038975746</v>
      </c>
      <c r="G28" s="140" t="s">
        <v>216</v>
      </c>
      <c r="H28" s="150">
        <v>1.718</v>
      </c>
      <c r="I28" s="309" t="s">
        <v>117</v>
      </c>
      <c r="J28" s="310">
        <v>29.181851731832094</v>
      </c>
      <c r="M28"/>
      <c r="N28"/>
      <c r="O28"/>
    </row>
    <row r="29" spans="1:144" s="179" customFormat="1" ht="15" customHeight="1" x14ac:dyDescent="0.25">
      <c r="A29" s="77"/>
      <c r="B29" s="312">
        <v>25</v>
      </c>
      <c r="C29" s="107" t="s">
        <v>114</v>
      </c>
      <c r="D29" s="181">
        <v>4793419.0783647401</v>
      </c>
      <c r="E29" s="182" t="s">
        <v>24</v>
      </c>
      <c r="F29" s="183">
        <v>0.47673033143872878</v>
      </c>
      <c r="G29" s="107" t="s">
        <v>173</v>
      </c>
      <c r="H29" s="184">
        <v>1.3280000000000001</v>
      </c>
      <c r="I29" s="293" t="s">
        <v>30</v>
      </c>
      <c r="J29" s="299">
        <v>26.639374053510185</v>
      </c>
      <c r="K29" s="77"/>
      <c r="L29" s="77"/>
      <c r="M29"/>
      <c r="N29"/>
      <c r="O29"/>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 customHeight="1" x14ac:dyDescent="0.25">
      <c r="B30" s="313">
        <v>26</v>
      </c>
      <c r="C30" s="140" t="s">
        <v>216</v>
      </c>
      <c r="D30" s="145">
        <v>4713380.6240098104</v>
      </c>
      <c r="E30" s="144" t="s">
        <v>12</v>
      </c>
      <c r="F30" s="148">
        <v>0.40758817377992484</v>
      </c>
      <c r="G30" s="140" t="s">
        <v>42</v>
      </c>
      <c r="H30" s="150">
        <v>1.204</v>
      </c>
      <c r="I30" s="292" t="s">
        <v>149</v>
      </c>
      <c r="J30" s="300">
        <v>25.67961288551588</v>
      </c>
      <c r="M30"/>
      <c r="N30"/>
      <c r="O30"/>
    </row>
    <row r="31" spans="1:144" s="179" customFormat="1" ht="15" customHeight="1" x14ac:dyDescent="0.25">
      <c r="A31" s="77"/>
      <c r="B31" s="312">
        <v>27</v>
      </c>
      <c r="C31" s="107" t="s">
        <v>149</v>
      </c>
      <c r="D31" s="181">
        <v>4018674.6682006</v>
      </c>
      <c r="E31" s="182" t="s">
        <v>42</v>
      </c>
      <c r="F31" s="183">
        <v>0.36388328801978237</v>
      </c>
      <c r="G31" s="107" t="s">
        <v>11</v>
      </c>
      <c r="H31" s="184">
        <v>0.999</v>
      </c>
      <c r="I31" s="293" t="s">
        <v>24</v>
      </c>
      <c r="J31" s="27">
        <v>15.473361181048299</v>
      </c>
      <c r="K31" s="77"/>
      <c r="L31" s="77"/>
      <c r="M31"/>
      <c r="N31"/>
      <c r="O31"/>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15" customHeight="1" x14ac:dyDescent="0.25">
      <c r="B32" s="315">
        <v>28</v>
      </c>
      <c r="C32" s="301" t="s">
        <v>97</v>
      </c>
      <c r="D32" s="302">
        <v>3927280.0564999999</v>
      </c>
      <c r="E32" s="144" t="s">
        <v>54</v>
      </c>
      <c r="F32" s="148">
        <v>0.28726285451829453</v>
      </c>
      <c r="G32" s="140" t="s">
        <v>54</v>
      </c>
      <c r="H32" s="150">
        <v>0.97599999999999998</v>
      </c>
      <c r="I32" s="294" t="s">
        <v>54</v>
      </c>
      <c r="J32" s="30">
        <v>11.424369830836344</v>
      </c>
      <c r="M32"/>
      <c r="N32"/>
      <c r="O32"/>
    </row>
    <row r="33" spans="1:144" s="179" customFormat="1" ht="15" customHeight="1" x14ac:dyDescent="0.25">
      <c r="A33" s="77"/>
      <c r="B33" s="317">
        <v>29</v>
      </c>
      <c r="C33" s="284" t="s">
        <v>117</v>
      </c>
      <c r="D33" s="303">
        <v>3903787.5210666498</v>
      </c>
      <c r="E33" s="182" t="s">
        <v>11</v>
      </c>
      <c r="F33" s="183">
        <v>0.28223250180752801</v>
      </c>
      <c r="G33" s="107" t="s">
        <v>12</v>
      </c>
      <c r="H33" s="184">
        <v>0.78700000000000003</v>
      </c>
      <c r="I33" s="293" t="s">
        <v>31</v>
      </c>
      <c r="J33" s="27">
        <v>3.0840571176210805</v>
      </c>
      <c r="K33" s="77"/>
      <c r="L33" s="77"/>
      <c r="M33"/>
      <c r="N33"/>
      <c r="O33"/>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1:144" ht="15" customHeight="1" thickBot="1" x14ac:dyDescent="0.3">
      <c r="B34" s="316">
        <v>30</v>
      </c>
      <c r="C34" s="141" t="s">
        <v>53</v>
      </c>
      <c r="D34" s="146">
        <v>3674000</v>
      </c>
      <c r="E34" s="328" t="s">
        <v>31</v>
      </c>
      <c r="F34" s="149">
        <v>3.8689779988426924E-2</v>
      </c>
      <c r="G34" s="329" t="s">
        <v>31</v>
      </c>
      <c r="H34" s="151">
        <v>0.28599999999999998</v>
      </c>
      <c r="I34" s="296" t="s">
        <v>19</v>
      </c>
      <c r="J34" s="308">
        <v>-528.05809891184867</v>
      </c>
      <c r="M34"/>
      <c r="N34"/>
      <c r="O34"/>
    </row>
    <row r="35" spans="1:144" ht="15" customHeight="1" x14ac:dyDescent="0.25">
      <c r="C35" s="185"/>
    </row>
    <row r="36" spans="1:144" ht="15" customHeight="1" x14ac:dyDescent="0.25">
      <c r="A36" s="71" t="s">
        <v>79</v>
      </c>
      <c r="B36" s="464" t="s">
        <v>274</v>
      </c>
      <c r="C36" s="422"/>
      <c r="D36" s="422"/>
      <c r="E36" s="422"/>
      <c r="F36" s="422"/>
      <c r="G36" s="422"/>
      <c r="H36" s="422"/>
      <c r="I36" s="422"/>
      <c r="J36" s="422"/>
      <c r="K36" s="165"/>
      <c r="L36" s="165"/>
      <c r="M36" s="165"/>
      <c r="N36" s="166"/>
      <c r="O36" s="166"/>
    </row>
    <row r="37" spans="1:144" s="1" customFormat="1" ht="15" customHeight="1" x14ac:dyDescent="0.25">
      <c r="A37" s="123" t="s">
        <v>63</v>
      </c>
      <c r="B37" s="409" t="s">
        <v>329</v>
      </c>
      <c r="C37" s="410"/>
      <c r="D37" s="410"/>
      <c r="E37" s="410"/>
    </row>
    <row r="38" spans="1:144" s="1" customFormat="1" ht="15" customHeight="1" x14ac:dyDescent="0.25">
      <c r="A38" s="369" t="s">
        <v>282</v>
      </c>
      <c r="B38" s="421" t="s">
        <v>323</v>
      </c>
      <c r="C38" s="422"/>
      <c r="D38" s="15"/>
      <c r="E38" s="15"/>
      <c r="F38"/>
      <c r="G38"/>
    </row>
    <row r="39" spans="1:144" s="1" customFormat="1" ht="15" customHeight="1" x14ac:dyDescent="0.25">
      <c r="A39" s="370" t="s">
        <v>4</v>
      </c>
      <c r="B39" s="497" t="s">
        <v>344</v>
      </c>
      <c r="C39" s="408"/>
      <c r="D39" s="410"/>
      <c r="E39" s="15"/>
      <c r="F39"/>
      <c r="G39"/>
    </row>
    <row r="40" spans="1:144" x14ac:dyDescent="0.25">
      <c r="B40"/>
      <c r="C40"/>
      <c r="D40"/>
      <c r="E40"/>
      <c r="F40"/>
      <c r="G40"/>
      <c r="H40"/>
      <c r="I40"/>
      <c r="J40"/>
      <c r="K40"/>
    </row>
    <row r="41" spans="1:144" x14ac:dyDescent="0.25">
      <c r="B41"/>
      <c r="C41"/>
      <c r="D41"/>
      <c r="E41"/>
      <c r="F41"/>
      <c r="G41"/>
      <c r="H41"/>
      <c r="I41"/>
      <c r="J41"/>
      <c r="K41"/>
    </row>
    <row r="42" spans="1:144" x14ac:dyDescent="0.25">
      <c r="B42"/>
      <c r="C42"/>
      <c r="D42"/>
      <c r="E42"/>
      <c r="F42"/>
      <c r="G42"/>
      <c r="H42"/>
      <c r="I42"/>
      <c r="J42"/>
      <c r="K42"/>
    </row>
    <row r="43" spans="1:144" x14ac:dyDescent="0.25">
      <c r="B43"/>
      <c r="C43"/>
      <c r="D43"/>
      <c r="E43"/>
      <c r="F43"/>
      <c r="G43"/>
      <c r="H43"/>
      <c r="I43"/>
      <c r="J43"/>
      <c r="K43"/>
    </row>
    <row r="44" spans="1:144" x14ac:dyDescent="0.25">
      <c r="B44"/>
      <c r="C44"/>
      <c r="D44"/>
      <c r="E44"/>
      <c r="F44"/>
      <c r="G44"/>
      <c r="H44"/>
      <c r="I44"/>
      <c r="J44"/>
      <c r="K44"/>
    </row>
    <row r="45" spans="1:144" x14ac:dyDescent="0.25">
      <c r="B45"/>
      <c r="C45"/>
      <c r="D45"/>
      <c r="E45"/>
      <c r="F45"/>
      <c r="G45"/>
      <c r="H45"/>
      <c r="I45"/>
      <c r="J45"/>
      <c r="K45"/>
    </row>
    <row r="46" spans="1:144" x14ac:dyDescent="0.25">
      <c r="B46"/>
      <c r="C46"/>
      <c r="D46"/>
      <c r="E46"/>
      <c r="F46"/>
      <c r="G46"/>
      <c r="H46"/>
      <c r="I46"/>
      <c r="J46"/>
      <c r="K46"/>
    </row>
    <row r="47" spans="1:144" x14ac:dyDescent="0.25">
      <c r="B47"/>
      <c r="C47"/>
      <c r="D47"/>
      <c r="E47"/>
      <c r="F47"/>
      <c r="G47"/>
      <c r="H47"/>
      <c r="I47"/>
      <c r="J47"/>
      <c r="K47"/>
    </row>
    <row r="48" spans="1:144" x14ac:dyDescent="0.25">
      <c r="B48"/>
      <c r="C48"/>
      <c r="D48"/>
      <c r="E48"/>
      <c r="F48"/>
      <c r="G48"/>
      <c r="H48"/>
      <c r="I48"/>
      <c r="J48"/>
      <c r="K48"/>
    </row>
    <row r="49" spans="2:11" x14ac:dyDescent="0.25">
      <c r="B49"/>
      <c r="C49"/>
      <c r="D49"/>
      <c r="E49"/>
      <c r="F49"/>
      <c r="G49"/>
      <c r="H49"/>
      <c r="I49"/>
      <c r="J49"/>
      <c r="K49"/>
    </row>
    <row r="50" spans="2:11" x14ac:dyDescent="0.25">
      <c r="B50"/>
      <c r="C50"/>
      <c r="D50"/>
      <c r="E50"/>
      <c r="F50"/>
      <c r="G50"/>
      <c r="H50"/>
      <c r="I50"/>
      <c r="J50"/>
      <c r="K50"/>
    </row>
    <row r="51" spans="2:11" x14ac:dyDescent="0.25">
      <c r="B51"/>
      <c r="C51"/>
      <c r="D51"/>
      <c r="E51"/>
      <c r="F51"/>
      <c r="G51"/>
      <c r="H51"/>
      <c r="I51"/>
      <c r="J51"/>
      <c r="K51"/>
    </row>
    <row r="52" spans="2:11" x14ac:dyDescent="0.25">
      <c r="B52"/>
      <c r="C52"/>
      <c r="D52"/>
      <c r="E52"/>
      <c r="F52"/>
      <c r="G52"/>
      <c r="H52"/>
      <c r="I52"/>
      <c r="J52"/>
      <c r="K52"/>
    </row>
    <row r="53" spans="2:11" x14ac:dyDescent="0.25">
      <c r="B53"/>
      <c r="C53"/>
      <c r="D53"/>
      <c r="E53"/>
      <c r="F53"/>
      <c r="G53"/>
      <c r="H53"/>
      <c r="I53"/>
      <c r="J53"/>
      <c r="K53"/>
    </row>
    <row r="54" spans="2:11" x14ac:dyDescent="0.25">
      <c r="B54"/>
      <c r="C54"/>
      <c r="D54"/>
      <c r="E54"/>
      <c r="F54"/>
    </row>
  </sheetData>
  <mergeCells count="6">
    <mergeCell ref="B3:J3"/>
    <mergeCell ref="B2:J2"/>
    <mergeCell ref="B39:D39"/>
    <mergeCell ref="B37:E37"/>
    <mergeCell ref="B36:J36"/>
    <mergeCell ref="B38:C38"/>
  </mergeCells>
  <hyperlinks>
    <hyperlink ref="J1" location="Índice!A1" display="[índice Ç]"/>
    <hyperlink ref="B39" r:id="rId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zoomScaleNormal="100" workbookViewId="0">
      <selection activeCell="E27" sqref="E27"/>
    </sheetView>
  </sheetViews>
  <sheetFormatPr defaultColWidth="8.7109375" defaultRowHeight="12" customHeight="1" x14ac:dyDescent="0.25"/>
  <cols>
    <col min="1" max="1" width="12.7109375" style="2" customWidth="1"/>
    <col min="2" max="6" width="16.7109375" style="2" customWidth="1"/>
    <col min="7" max="16384" width="8.7109375" style="2"/>
  </cols>
  <sheetData>
    <row r="1" spans="1:16" s="1" customFormat="1" ht="30" customHeight="1" x14ac:dyDescent="0.25">
      <c r="A1" s="100" t="s">
        <v>0</v>
      </c>
      <c r="B1" s="216" t="s">
        <v>1</v>
      </c>
      <c r="C1" s="217"/>
      <c r="D1" s="217"/>
      <c r="E1" s="215"/>
      <c r="F1" s="228" t="s">
        <v>269</v>
      </c>
    </row>
    <row r="2" spans="1:16" s="33" customFormat="1" ht="30" customHeight="1" x14ac:dyDescent="0.25">
      <c r="A2" s="31"/>
      <c r="B2" s="404" t="s">
        <v>331</v>
      </c>
      <c r="C2" s="450"/>
      <c r="D2" s="450"/>
      <c r="E2" s="450"/>
      <c r="F2" s="450"/>
      <c r="G2" s="41"/>
      <c r="H2" s="41"/>
      <c r="I2" s="41"/>
      <c r="J2" s="34"/>
      <c r="K2" s="34"/>
      <c r="L2" s="32"/>
      <c r="M2" s="32"/>
      <c r="N2" s="32"/>
      <c r="O2" s="14"/>
      <c r="P2" s="14"/>
    </row>
    <row r="3" spans="1:16" s="3" customFormat="1" ht="15" customHeight="1" x14ac:dyDescent="0.25">
      <c r="B3" s="465" t="s">
        <v>61</v>
      </c>
      <c r="C3" s="466"/>
      <c r="D3" s="466"/>
      <c r="E3" s="466"/>
      <c r="F3" s="466"/>
      <c r="G3" s="41"/>
      <c r="H3" s="41"/>
      <c r="I3" s="41"/>
      <c r="J3" s="10"/>
      <c r="K3" s="10"/>
      <c r="L3" s="10"/>
      <c r="M3" s="10"/>
      <c r="N3" s="10"/>
      <c r="O3" s="11"/>
      <c r="P3" s="11"/>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row r="21" spans="1:7" ht="15" customHeight="1" x14ac:dyDescent="0.25"/>
    <row r="22" spans="1:7" s="44" customFormat="1" ht="15" customHeight="1" x14ac:dyDescent="0.25"/>
    <row r="23" spans="1:7" s="44" customFormat="1" ht="15" customHeight="1" x14ac:dyDescent="0.25"/>
    <row r="24" spans="1:7" s="70" customFormat="1" ht="30" customHeight="1" x14ac:dyDescent="0.25">
      <c r="A24" s="71" t="s">
        <v>79</v>
      </c>
      <c r="B24" s="468" t="s">
        <v>81</v>
      </c>
      <c r="C24" s="469"/>
      <c r="D24" s="469"/>
      <c r="E24" s="469"/>
      <c r="F24" s="469"/>
    </row>
    <row r="25" spans="1:7" s="1" customFormat="1" ht="15" customHeight="1" x14ac:dyDescent="0.25">
      <c r="A25" s="123" t="s">
        <v>63</v>
      </c>
      <c r="B25" s="467" t="s">
        <v>341</v>
      </c>
      <c r="C25" s="410"/>
      <c r="D25" s="410"/>
      <c r="E25" s="410"/>
    </row>
    <row r="26" spans="1:7" s="1" customFormat="1" ht="15" customHeight="1" x14ac:dyDescent="0.25">
      <c r="A26" s="369" t="s">
        <v>282</v>
      </c>
      <c r="B26" s="421" t="s">
        <v>323</v>
      </c>
      <c r="C26" s="422"/>
      <c r="D26" s="15"/>
      <c r="E26" s="15"/>
      <c r="F26"/>
      <c r="G26"/>
    </row>
    <row r="27" spans="1:7" s="1" customFormat="1" ht="15" customHeight="1" x14ac:dyDescent="0.25">
      <c r="A27" s="370" t="s">
        <v>4</v>
      </c>
      <c r="B27" s="497" t="s">
        <v>344</v>
      </c>
      <c r="C27" s="408"/>
      <c r="D27" s="410"/>
      <c r="E27" s="15"/>
      <c r="F27"/>
      <c r="G27"/>
    </row>
    <row r="28" spans="1:7" s="44" customFormat="1" ht="15" customHeight="1" x14ac:dyDescent="0.25"/>
    <row r="29" spans="1:7" ht="15" customHeight="1" x14ac:dyDescent="0.25"/>
    <row r="30" spans="1:7" s="44" customFormat="1" ht="15" customHeight="1" x14ac:dyDescent="0.25"/>
    <row r="31" spans="1:7" s="44" customFormat="1" ht="15" customHeight="1" x14ac:dyDescent="0.25"/>
    <row r="32" spans="1:7" s="44" customFormat="1" ht="15" customHeight="1" x14ac:dyDescent="0.25"/>
    <row r="33" s="44" customFormat="1" ht="15" customHeight="1" x14ac:dyDescent="0.25"/>
    <row r="34" s="44" customFormat="1" ht="15" customHeight="1" x14ac:dyDescent="0.25"/>
    <row r="35" s="44" customFormat="1" ht="15" customHeight="1" x14ac:dyDescent="0.25"/>
    <row r="36" s="44" customFormat="1" ht="15" customHeight="1" x14ac:dyDescent="0.25"/>
    <row r="37" s="44" customFormat="1" ht="15" customHeight="1" x14ac:dyDescent="0.25"/>
    <row r="38" s="44" customFormat="1" ht="12" customHeight="1" x14ac:dyDescent="0.25"/>
    <row r="39" s="44" customFormat="1" ht="12" customHeight="1" x14ac:dyDescent="0.25"/>
    <row r="40" s="44" customFormat="1" ht="12" customHeight="1" x14ac:dyDescent="0.25"/>
    <row r="41" s="44" customFormat="1" ht="12" customHeight="1" x14ac:dyDescent="0.25"/>
    <row r="42" s="44" customFormat="1" ht="12" customHeight="1" x14ac:dyDescent="0.25"/>
    <row r="43" s="44" customFormat="1" ht="12" customHeight="1" x14ac:dyDescent="0.25"/>
    <row r="44" s="44" customFormat="1" ht="12" customHeight="1" x14ac:dyDescent="0.25"/>
    <row r="45" s="44" customFormat="1" ht="12" customHeight="1" x14ac:dyDescent="0.25"/>
    <row r="53" spans="1:16" ht="12" customHeight="1" x14ac:dyDescent="0.25">
      <c r="A53" s="43"/>
      <c r="B53" s="43"/>
      <c r="C53" s="43"/>
      <c r="D53" s="43"/>
      <c r="E53" s="43"/>
      <c r="F53" s="43"/>
      <c r="G53" s="43"/>
      <c r="H53" s="43"/>
      <c r="I53" s="43"/>
    </row>
    <row r="54" spans="1:16" ht="12" customHeight="1" x14ac:dyDescent="0.25">
      <c r="A54" s="43"/>
      <c r="B54" s="43"/>
      <c r="C54" s="43"/>
      <c r="D54" s="43"/>
      <c r="E54" s="43"/>
      <c r="F54" s="43"/>
      <c r="G54" s="43"/>
      <c r="H54" s="43"/>
      <c r="I54" s="43"/>
    </row>
    <row r="55" spans="1:16" ht="12" customHeight="1" x14ac:dyDescent="0.25">
      <c r="A55" s="39"/>
      <c r="B55" s="64"/>
      <c r="C55" s="40"/>
      <c r="D55" s="40"/>
      <c r="E55" s="40"/>
      <c r="F55" s="40"/>
      <c r="G55" s="40"/>
      <c r="H55" s="40"/>
      <c r="I55" s="40"/>
      <c r="J55" s="12"/>
      <c r="K55" s="12"/>
      <c r="L55" s="9"/>
      <c r="M55" s="9"/>
      <c r="N55" s="9"/>
      <c r="O55" s="8"/>
      <c r="P55" s="8"/>
    </row>
    <row r="56" spans="1:16" ht="12" customHeight="1" x14ac:dyDescent="0.25">
      <c r="A56" s="39"/>
      <c r="B56" s="65"/>
      <c r="C56" s="40"/>
      <c r="D56" s="40"/>
      <c r="E56" s="40"/>
      <c r="F56" s="40"/>
      <c r="G56" s="40"/>
      <c r="H56" s="40"/>
      <c r="I56" s="40"/>
      <c r="J56" s="12"/>
      <c r="K56" s="12"/>
      <c r="L56" s="8"/>
      <c r="M56" s="8"/>
      <c r="N56" s="8"/>
      <c r="O56" s="8"/>
      <c r="P56" s="8"/>
    </row>
    <row r="57" spans="1:16" ht="12" customHeight="1" x14ac:dyDescent="0.25">
      <c r="A57" s="39"/>
      <c r="B57" s="66"/>
      <c r="C57" s="42"/>
      <c r="D57" s="42"/>
      <c r="E57" s="42"/>
      <c r="F57" s="42"/>
      <c r="G57" s="42"/>
      <c r="H57" s="42"/>
      <c r="I57" s="42"/>
      <c r="J57" s="12"/>
      <c r="K57" s="12"/>
      <c r="L57" s="8"/>
      <c r="M57" s="8"/>
      <c r="N57" s="8"/>
      <c r="O57" s="8"/>
      <c r="P57" s="8"/>
    </row>
    <row r="58" spans="1:16" ht="12" customHeight="1" x14ac:dyDescent="0.25">
      <c r="A58" s="39"/>
      <c r="B58" s="67"/>
      <c r="C58" s="39"/>
      <c r="D58" s="40"/>
      <c r="E58" s="40"/>
      <c r="F58" s="40"/>
      <c r="G58" s="40"/>
      <c r="H58" s="40"/>
      <c r="I58" s="40"/>
      <c r="J58" s="12"/>
      <c r="K58" s="12"/>
      <c r="L58" s="8"/>
      <c r="M58" s="8"/>
      <c r="N58" s="8"/>
      <c r="O58" s="8"/>
      <c r="P58" s="8"/>
    </row>
    <row r="59" spans="1:16" s="43" customFormat="1" ht="12" customHeight="1" x14ac:dyDescent="0.25">
      <c r="B59" s="65"/>
      <c r="C59" s="37"/>
      <c r="D59" s="36"/>
      <c r="E59" s="36"/>
      <c r="F59" s="36"/>
    </row>
    <row r="60" spans="1:16" s="43" customFormat="1" ht="12" customHeight="1" x14ac:dyDescent="0.25">
      <c r="B60" s="66"/>
      <c r="C60" s="35"/>
      <c r="D60" s="36"/>
      <c r="E60" s="36"/>
      <c r="F60" s="36"/>
    </row>
    <row r="61" spans="1:16" s="43" customFormat="1" ht="12" customHeight="1" x14ac:dyDescent="0.25">
      <c r="B61" s="67"/>
      <c r="C61" s="37"/>
      <c r="D61" s="36"/>
      <c r="E61" s="36"/>
      <c r="F61" s="36"/>
    </row>
    <row r="62" spans="1:16" s="43"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topLeftCell="A16" zoomScaleNormal="100" workbookViewId="0">
      <selection activeCell="E27" sqref="E27"/>
    </sheetView>
  </sheetViews>
  <sheetFormatPr defaultColWidth="8.7109375" defaultRowHeight="12" customHeight="1" x14ac:dyDescent="0.25"/>
  <cols>
    <col min="1" max="1" width="12.7109375" style="44" customWidth="1"/>
    <col min="2" max="6" width="16.7109375" style="44" customWidth="1"/>
    <col min="7" max="16384" width="8.7109375" style="44"/>
  </cols>
  <sheetData>
    <row r="1" spans="1:16" s="1" customFormat="1" ht="30" customHeight="1" x14ac:dyDescent="0.25">
      <c r="A1" s="100" t="s">
        <v>0</v>
      </c>
      <c r="B1" s="216" t="s">
        <v>1</v>
      </c>
      <c r="C1" s="217"/>
      <c r="D1" s="217"/>
      <c r="E1" s="215"/>
      <c r="F1" s="228" t="s">
        <v>269</v>
      </c>
    </row>
    <row r="2" spans="1:16" s="33" customFormat="1" ht="30" customHeight="1" x14ac:dyDescent="0.25">
      <c r="A2" s="31"/>
      <c r="B2" s="404" t="s">
        <v>332</v>
      </c>
      <c r="C2" s="450"/>
      <c r="D2" s="450"/>
      <c r="E2" s="450"/>
      <c r="F2" s="450"/>
      <c r="G2" s="41"/>
      <c r="H2" s="41"/>
      <c r="I2" s="41"/>
      <c r="J2" s="38"/>
      <c r="K2" s="38"/>
      <c r="L2" s="32"/>
      <c r="M2" s="32"/>
      <c r="N2" s="32"/>
      <c r="O2" s="41"/>
      <c r="P2" s="41"/>
    </row>
    <row r="3" spans="1:16" s="13" customFormat="1" ht="15" customHeight="1" x14ac:dyDescent="0.25">
      <c r="B3" s="465" t="s">
        <v>61</v>
      </c>
      <c r="C3" s="466"/>
      <c r="D3" s="466"/>
      <c r="E3" s="466"/>
      <c r="F3" s="466"/>
      <c r="G3" s="41"/>
      <c r="H3" s="41"/>
      <c r="I3" s="41"/>
      <c r="J3" s="10"/>
      <c r="K3" s="10"/>
      <c r="L3" s="10"/>
      <c r="M3" s="10"/>
      <c r="N3" s="10"/>
      <c r="O3" s="41"/>
      <c r="P3" s="41"/>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row r="21" spans="1:7" ht="15" customHeight="1" x14ac:dyDescent="0.25"/>
    <row r="22" spans="1:7" ht="15" customHeight="1" x14ac:dyDescent="0.25"/>
    <row r="23" spans="1:7" s="69" customFormat="1" ht="15" customHeight="1" x14ac:dyDescent="0.25"/>
    <row r="24" spans="1:7" ht="30" customHeight="1" x14ac:dyDescent="0.25">
      <c r="A24" s="71" t="s">
        <v>79</v>
      </c>
      <c r="B24" s="403" t="s">
        <v>245</v>
      </c>
      <c r="C24" s="469"/>
      <c r="D24" s="469"/>
      <c r="E24" s="469"/>
      <c r="F24" s="469"/>
    </row>
    <row r="25" spans="1:7" s="1" customFormat="1" ht="15" customHeight="1" x14ac:dyDescent="0.25">
      <c r="A25" s="123" t="s">
        <v>63</v>
      </c>
      <c r="B25" s="451" t="s">
        <v>341</v>
      </c>
      <c r="C25" s="410"/>
      <c r="D25" s="410"/>
      <c r="E25" s="410"/>
    </row>
    <row r="26" spans="1:7" s="1" customFormat="1" ht="15" customHeight="1" x14ac:dyDescent="0.25">
      <c r="A26" s="369" t="s">
        <v>282</v>
      </c>
      <c r="B26" s="421" t="s">
        <v>323</v>
      </c>
      <c r="C26" s="422"/>
      <c r="D26" s="15"/>
      <c r="E26" s="15"/>
      <c r="F26"/>
      <c r="G26"/>
    </row>
    <row r="27" spans="1:7" s="1" customFormat="1" ht="15" customHeight="1" x14ac:dyDescent="0.25">
      <c r="A27" s="370" t="s">
        <v>4</v>
      </c>
      <c r="B27" s="497" t="s">
        <v>344</v>
      </c>
      <c r="C27" s="408"/>
      <c r="D27" s="410"/>
      <c r="E27" s="15"/>
      <c r="F27"/>
      <c r="G27"/>
    </row>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53" spans="1:14" ht="12" customHeight="1" x14ac:dyDescent="0.25">
      <c r="A53" s="43"/>
      <c r="B53" s="43"/>
      <c r="C53" s="43"/>
      <c r="D53" s="43"/>
      <c r="E53" s="43"/>
      <c r="F53" s="43"/>
      <c r="G53" s="43"/>
      <c r="H53" s="43"/>
      <c r="I53" s="43"/>
    </row>
    <row r="54" spans="1:14" ht="12" customHeight="1" x14ac:dyDescent="0.25">
      <c r="A54" s="43"/>
      <c r="B54" s="43"/>
      <c r="C54" s="43"/>
      <c r="D54" s="43"/>
      <c r="E54" s="43"/>
      <c r="F54" s="43"/>
      <c r="G54" s="43"/>
      <c r="H54" s="43"/>
      <c r="I54" s="43"/>
    </row>
    <row r="55" spans="1:14" ht="12" customHeight="1" x14ac:dyDescent="0.25">
      <c r="A55" s="39"/>
      <c r="B55" s="64"/>
      <c r="C55" s="40"/>
      <c r="D55" s="40"/>
      <c r="E55" s="40"/>
      <c r="F55" s="40"/>
      <c r="G55" s="40"/>
      <c r="H55" s="40"/>
      <c r="I55" s="40"/>
      <c r="L55" s="9"/>
      <c r="M55" s="9"/>
      <c r="N55" s="9"/>
    </row>
    <row r="56" spans="1:14" ht="12" customHeight="1" x14ac:dyDescent="0.25">
      <c r="A56" s="39"/>
      <c r="B56" s="65"/>
      <c r="C56" s="40"/>
      <c r="D56" s="40"/>
      <c r="E56" s="40"/>
      <c r="F56" s="40"/>
      <c r="G56" s="40"/>
      <c r="H56" s="40"/>
      <c r="I56" s="40"/>
    </row>
    <row r="57" spans="1:14" ht="12" customHeight="1" x14ac:dyDescent="0.25">
      <c r="A57" s="39"/>
      <c r="B57" s="66"/>
      <c r="C57" s="42"/>
      <c r="D57" s="42"/>
      <c r="E57" s="42"/>
      <c r="F57" s="42"/>
      <c r="G57" s="42"/>
      <c r="H57" s="42"/>
      <c r="I57" s="42"/>
    </row>
    <row r="58" spans="1:14" ht="12" customHeight="1" x14ac:dyDescent="0.25">
      <c r="A58" s="39"/>
      <c r="B58" s="67"/>
      <c r="C58" s="39"/>
      <c r="D58" s="40"/>
      <c r="E58" s="40"/>
      <c r="F58" s="40"/>
      <c r="G58" s="40"/>
      <c r="H58" s="40"/>
      <c r="I58" s="40"/>
    </row>
    <row r="59" spans="1:14" s="43" customFormat="1" ht="12" customHeight="1" x14ac:dyDescent="0.25">
      <c r="B59" s="65"/>
      <c r="C59" s="37"/>
      <c r="D59" s="36"/>
      <c r="E59" s="36"/>
      <c r="F59" s="36"/>
    </row>
    <row r="60" spans="1:14" s="43" customFormat="1" ht="12" customHeight="1" x14ac:dyDescent="0.25">
      <c r="B60" s="66"/>
      <c r="C60" s="35"/>
      <c r="D60" s="36"/>
      <c r="E60" s="36"/>
      <c r="F60" s="36"/>
    </row>
    <row r="61" spans="1:14" s="43" customFormat="1" ht="12" customHeight="1" x14ac:dyDescent="0.25">
      <c r="B61" s="67"/>
      <c r="C61" s="37"/>
      <c r="D61" s="36"/>
      <c r="E61" s="36"/>
      <c r="F61" s="36"/>
    </row>
    <row r="62" spans="1:14" s="43"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opLeftCell="A16" zoomScaleNormal="100" workbookViewId="0">
      <selection activeCell="E36" sqref="E36"/>
    </sheetView>
  </sheetViews>
  <sheetFormatPr defaultColWidth="8.7109375" defaultRowHeight="12" customHeight="1" x14ac:dyDescent="0.25"/>
  <cols>
    <col min="1" max="1" width="12.7109375" style="44" customWidth="1"/>
    <col min="2" max="6" width="16.7109375" style="44" customWidth="1"/>
    <col min="7" max="8" width="8.7109375" style="44"/>
    <col min="9" max="9" width="13.42578125" style="44" bestFit="1" customWidth="1"/>
    <col min="10" max="16384" width="8.7109375" style="44"/>
  </cols>
  <sheetData>
    <row r="1" spans="1:16" s="1" customFormat="1" ht="30" customHeight="1" x14ac:dyDescent="0.25">
      <c r="A1" s="100" t="s">
        <v>0</v>
      </c>
      <c r="B1" s="216" t="s">
        <v>1</v>
      </c>
      <c r="C1" s="217"/>
      <c r="D1" s="217"/>
      <c r="E1" s="215"/>
      <c r="F1" s="228" t="s">
        <v>269</v>
      </c>
    </row>
    <row r="2" spans="1:16" s="33" customFormat="1" ht="45" customHeight="1" x14ac:dyDescent="0.25">
      <c r="A2" s="31"/>
      <c r="B2" s="404" t="s">
        <v>333</v>
      </c>
      <c r="C2" s="450"/>
      <c r="D2" s="450"/>
      <c r="E2" s="450"/>
      <c r="F2" s="450"/>
      <c r="G2" s="41"/>
      <c r="H2" s="41"/>
      <c r="I2" s="41"/>
      <c r="J2" s="38"/>
      <c r="K2" s="38"/>
      <c r="L2" s="32"/>
      <c r="M2" s="32"/>
      <c r="N2" s="32"/>
      <c r="O2" s="41"/>
      <c r="P2" s="41"/>
    </row>
    <row r="3" spans="1:16" s="13" customFormat="1" ht="15" customHeight="1" x14ac:dyDescent="0.25">
      <c r="B3" s="465" t="s">
        <v>61</v>
      </c>
      <c r="C3" s="466"/>
      <c r="D3" s="466"/>
      <c r="E3" s="466"/>
      <c r="F3" s="466"/>
      <c r="G3" s="41"/>
      <c r="H3" s="41"/>
      <c r="I3" s="41"/>
      <c r="J3" s="10"/>
      <c r="K3" s="10"/>
      <c r="L3" s="10"/>
      <c r="M3" s="10"/>
      <c r="N3" s="10"/>
      <c r="O3" s="41"/>
      <c r="P3" s="41"/>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7" ht="15" customHeight="1" x14ac:dyDescent="0.25"/>
    <row r="34" spans="1:7" s="1" customFormat="1" ht="15" customHeight="1" x14ac:dyDescent="0.25">
      <c r="A34" s="123" t="s">
        <v>63</v>
      </c>
      <c r="B34" s="451" t="s">
        <v>341</v>
      </c>
      <c r="C34" s="410"/>
      <c r="D34" s="410"/>
      <c r="E34" s="410"/>
    </row>
    <row r="35" spans="1:7" s="1" customFormat="1" ht="15" customHeight="1" x14ac:dyDescent="0.25">
      <c r="A35" s="369" t="s">
        <v>282</v>
      </c>
      <c r="B35" s="421" t="s">
        <v>323</v>
      </c>
      <c r="C35" s="422"/>
      <c r="D35" s="15"/>
      <c r="E35" s="15"/>
      <c r="F35"/>
      <c r="G35"/>
    </row>
    <row r="36" spans="1:7" s="1" customFormat="1" ht="15" customHeight="1" x14ac:dyDescent="0.25">
      <c r="A36" s="370" t="s">
        <v>4</v>
      </c>
      <c r="B36" s="497" t="s">
        <v>344</v>
      </c>
      <c r="C36" s="408"/>
      <c r="D36" s="410"/>
      <c r="E36" s="15"/>
      <c r="F36"/>
      <c r="G36"/>
    </row>
    <row r="37" spans="1:7" ht="15" customHeight="1" x14ac:dyDescent="0.25"/>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47" spans="1:7" ht="15" customHeight="1" x14ac:dyDescent="0.25"/>
    <row r="62" spans="1:14" ht="12" customHeight="1" x14ac:dyDescent="0.25">
      <c r="A62" s="43"/>
      <c r="B62" s="43"/>
      <c r="C62" s="43"/>
      <c r="D62" s="43"/>
      <c r="E62" s="43"/>
      <c r="F62" s="43"/>
      <c r="G62" s="43"/>
      <c r="H62" s="43"/>
      <c r="I62" s="43"/>
    </row>
    <row r="63" spans="1:14" ht="12" customHeight="1" x14ac:dyDescent="0.25">
      <c r="A63" s="43"/>
      <c r="B63" s="43"/>
      <c r="C63" s="43"/>
      <c r="D63" s="43"/>
      <c r="E63" s="43"/>
      <c r="F63" s="43"/>
      <c r="G63" s="43"/>
      <c r="H63" s="43"/>
      <c r="I63" s="43"/>
    </row>
    <row r="64" spans="1:14" ht="12" customHeight="1" x14ac:dyDescent="0.25">
      <c r="A64" s="39"/>
      <c r="B64" s="64"/>
      <c r="C64" s="40"/>
      <c r="D64" s="40"/>
      <c r="E64" s="40"/>
      <c r="F64" s="40"/>
      <c r="G64" s="40"/>
      <c r="H64" s="40"/>
      <c r="I64" s="40"/>
      <c r="L64" s="9"/>
      <c r="M64" s="9"/>
      <c r="N64" s="9"/>
    </row>
    <row r="65" spans="1:9" ht="12" customHeight="1" x14ac:dyDescent="0.25">
      <c r="A65" s="39"/>
      <c r="B65" s="65"/>
      <c r="C65" s="40"/>
      <c r="D65" s="40"/>
      <c r="E65" s="40"/>
      <c r="F65" s="40"/>
      <c r="G65" s="40"/>
      <c r="H65" s="40"/>
      <c r="I65" s="40"/>
    </row>
    <row r="66" spans="1:9" ht="12" customHeight="1" x14ac:dyDescent="0.25">
      <c r="A66" s="39"/>
      <c r="B66" s="66"/>
      <c r="C66" s="42"/>
      <c r="D66" s="42"/>
      <c r="E66" s="42"/>
      <c r="F66" s="42"/>
      <c r="G66" s="42"/>
      <c r="H66" s="42"/>
      <c r="I66" s="42"/>
    </row>
    <row r="67" spans="1:9" ht="12" customHeight="1" x14ac:dyDescent="0.25">
      <c r="A67" s="39"/>
      <c r="B67" s="67"/>
      <c r="C67" s="39"/>
      <c r="D67" s="40"/>
      <c r="E67" s="40"/>
      <c r="F67" s="40"/>
      <c r="G67" s="40"/>
      <c r="H67" s="40"/>
      <c r="I67" s="40"/>
    </row>
    <row r="68" spans="1:9" s="43" customFormat="1" ht="12" customHeight="1" x14ac:dyDescent="0.25">
      <c r="B68" s="65"/>
      <c r="C68" s="37"/>
      <c r="D68" s="36"/>
      <c r="E68" s="36"/>
      <c r="F68" s="36"/>
    </row>
    <row r="69" spans="1:9" s="43" customFormat="1" ht="12" customHeight="1" x14ac:dyDescent="0.25">
      <c r="B69" s="66"/>
      <c r="C69" s="35"/>
      <c r="D69" s="36"/>
      <c r="E69" s="36"/>
      <c r="F69" s="36"/>
    </row>
    <row r="70" spans="1:9" s="43" customFormat="1" ht="12" customHeight="1" x14ac:dyDescent="0.25">
      <c r="B70" s="67"/>
      <c r="C70" s="37"/>
      <c r="D70" s="36"/>
      <c r="E70" s="36"/>
      <c r="F70" s="36"/>
    </row>
    <row r="71" spans="1:9" s="43" customFormat="1" ht="12" customHeight="1" x14ac:dyDescent="0.25"/>
  </sheetData>
  <mergeCells count="5">
    <mergeCell ref="B2:F2"/>
    <mergeCell ref="B3:F3"/>
    <mergeCell ref="B36:D36"/>
    <mergeCell ref="B34:E34"/>
    <mergeCell ref="B35:C35"/>
  </mergeCells>
  <hyperlinks>
    <hyperlink ref="F1" location="Índice!A1" display="[índice Ç]"/>
    <hyperlink ref="B36"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opLeftCell="A13" zoomScaleNormal="100" workbookViewId="0">
      <selection activeCell="E36" sqref="E36"/>
    </sheetView>
  </sheetViews>
  <sheetFormatPr defaultColWidth="8.7109375" defaultRowHeight="12" customHeight="1" x14ac:dyDescent="0.25"/>
  <cols>
    <col min="1" max="1" width="12.7109375" style="215" customWidth="1"/>
    <col min="2" max="6" width="16.7109375" style="215" customWidth="1"/>
    <col min="7" max="16384" width="8.7109375" style="215"/>
  </cols>
  <sheetData>
    <row r="1" spans="1:16" s="1" customFormat="1" ht="30" customHeight="1" x14ac:dyDescent="0.25">
      <c r="A1" s="100" t="s">
        <v>0</v>
      </c>
      <c r="B1" s="216" t="s">
        <v>1</v>
      </c>
      <c r="C1" s="217"/>
      <c r="D1" s="217"/>
      <c r="E1" s="217"/>
      <c r="F1" s="228" t="s">
        <v>269</v>
      </c>
    </row>
    <row r="2" spans="1:16" s="33" customFormat="1" ht="45" customHeight="1" x14ac:dyDescent="0.25">
      <c r="A2" s="318"/>
      <c r="B2" s="470" t="s">
        <v>334</v>
      </c>
      <c r="C2" s="471"/>
      <c r="D2" s="471"/>
      <c r="E2" s="471"/>
      <c r="F2" s="471"/>
      <c r="G2" s="189"/>
      <c r="H2" s="189"/>
      <c r="I2" s="189"/>
      <c r="J2" s="243"/>
      <c r="K2" s="243"/>
      <c r="L2" s="32"/>
      <c r="M2" s="32"/>
      <c r="N2" s="32"/>
      <c r="O2" s="189"/>
      <c r="P2" s="189"/>
    </row>
    <row r="3" spans="1:16" s="13" customFormat="1" ht="15" customHeight="1" x14ac:dyDescent="0.25">
      <c r="A3" s="174"/>
      <c r="B3" s="472" t="s">
        <v>261</v>
      </c>
      <c r="C3" s="473"/>
      <c r="D3" s="474" t="s">
        <v>275</v>
      </c>
      <c r="E3" s="475"/>
      <c r="F3" s="475"/>
      <c r="G3" s="189"/>
      <c r="H3" s="189"/>
      <c r="I3" s="189"/>
      <c r="J3" s="10"/>
      <c r="K3" s="10"/>
      <c r="L3" s="10"/>
      <c r="M3" s="10"/>
      <c r="N3" s="10"/>
      <c r="O3" s="189"/>
      <c r="P3" s="189"/>
    </row>
    <row r="4" spans="1:16" ht="15" customHeight="1" x14ac:dyDescent="0.25">
      <c r="A4" s="209"/>
      <c r="B4" s="209"/>
      <c r="C4" s="209"/>
      <c r="D4" s="209"/>
      <c r="E4" s="209"/>
      <c r="F4" s="209"/>
    </row>
    <row r="5" spans="1:16" ht="15" customHeight="1" x14ac:dyDescent="0.25">
      <c r="A5" s="209"/>
      <c r="B5" s="209"/>
      <c r="C5" s="209"/>
      <c r="D5" s="209"/>
      <c r="E5" s="209"/>
      <c r="F5" s="209"/>
    </row>
    <row r="6" spans="1:16" ht="15" customHeight="1" x14ac:dyDescent="0.25">
      <c r="A6" s="209"/>
      <c r="B6" s="209"/>
      <c r="C6" s="209"/>
      <c r="D6" s="209"/>
      <c r="E6" s="209"/>
      <c r="F6" s="209"/>
    </row>
    <row r="7" spans="1:16" ht="15" customHeight="1" x14ac:dyDescent="0.25">
      <c r="A7" s="209"/>
      <c r="B7" s="209"/>
      <c r="C7" s="209"/>
      <c r="D7" s="209"/>
      <c r="E7" s="209"/>
      <c r="F7" s="209"/>
    </row>
    <row r="8" spans="1:16" ht="15" customHeight="1" x14ac:dyDescent="0.25">
      <c r="A8" s="209"/>
      <c r="B8" s="209"/>
      <c r="C8" s="209"/>
      <c r="D8" s="209"/>
      <c r="E8" s="209"/>
      <c r="F8" s="209"/>
    </row>
    <row r="9" spans="1:16" ht="15" customHeight="1" x14ac:dyDescent="0.25">
      <c r="A9" s="209"/>
      <c r="B9" s="209"/>
      <c r="C9" s="209"/>
      <c r="D9" s="209"/>
      <c r="E9" s="209"/>
      <c r="F9" s="209"/>
    </row>
    <row r="10" spans="1:16" ht="15" customHeight="1" x14ac:dyDescent="0.25">
      <c r="A10" s="209"/>
      <c r="B10" s="209"/>
      <c r="C10" s="209"/>
      <c r="D10" s="209"/>
      <c r="E10" s="209"/>
      <c r="F10" s="209"/>
    </row>
    <row r="11" spans="1:16" ht="15" customHeight="1" x14ac:dyDescent="0.25">
      <c r="A11" s="209"/>
      <c r="B11" s="209"/>
      <c r="C11" s="209"/>
      <c r="D11" s="209"/>
      <c r="E11" s="209"/>
      <c r="F11" s="209"/>
    </row>
    <row r="12" spans="1:16" ht="15" customHeight="1" x14ac:dyDescent="0.25">
      <c r="A12" s="209"/>
      <c r="B12" s="209"/>
      <c r="C12" s="209"/>
      <c r="D12" s="209"/>
      <c r="E12" s="209"/>
      <c r="F12" s="209"/>
    </row>
    <row r="13" spans="1:16" ht="15" customHeight="1" x14ac:dyDescent="0.25">
      <c r="A13" s="209"/>
      <c r="B13" s="209"/>
      <c r="C13" s="209"/>
      <c r="D13" s="209"/>
      <c r="E13" s="209"/>
      <c r="F13" s="209"/>
    </row>
    <row r="14" spans="1:16" ht="15" customHeight="1" x14ac:dyDescent="0.25">
      <c r="A14" s="209"/>
      <c r="B14" s="209"/>
      <c r="C14" s="209"/>
      <c r="D14" s="209"/>
      <c r="E14" s="209"/>
      <c r="F14" s="209"/>
    </row>
    <row r="15" spans="1:16" ht="15" customHeight="1" x14ac:dyDescent="0.25">
      <c r="A15" s="209"/>
      <c r="B15" s="209"/>
      <c r="C15" s="209"/>
      <c r="D15" s="209"/>
      <c r="E15" s="209"/>
      <c r="F15" s="209"/>
    </row>
    <row r="16" spans="1:16" ht="15" customHeight="1" x14ac:dyDescent="0.25">
      <c r="A16" s="209"/>
      <c r="B16" s="209"/>
      <c r="C16" s="209"/>
      <c r="D16" s="209"/>
      <c r="E16" s="209"/>
      <c r="F16" s="209"/>
    </row>
    <row r="17" spans="1:6" ht="15" customHeight="1" x14ac:dyDescent="0.25">
      <c r="A17" s="209"/>
      <c r="B17" s="209"/>
      <c r="C17" s="209"/>
      <c r="D17" s="209"/>
      <c r="E17" s="209"/>
      <c r="F17" s="209"/>
    </row>
    <row r="18" spans="1:6" ht="15" customHeight="1" x14ac:dyDescent="0.25">
      <c r="A18" s="209"/>
      <c r="B18" s="209"/>
      <c r="C18" s="209"/>
      <c r="D18" s="209"/>
      <c r="E18" s="209"/>
      <c r="F18" s="209"/>
    </row>
    <row r="19" spans="1:6" ht="15" customHeight="1" x14ac:dyDescent="0.25">
      <c r="A19" s="209"/>
      <c r="B19" s="209"/>
      <c r="C19" s="209"/>
      <c r="D19" s="209"/>
      <c r="E19" s="209"/>
      <c r="F19" s="209"/>
    </row>
    <row r="20" spans="1:6" ht="15" customHeight="1" x14ac:dyDescent="0.25">
      <c r="A20" s="209"/>
      <c r="B20" s="209"/>
      <c r="C20" s="209"/>
      <c r="D20" s="209"/>
      <c r="E20" s="209"/>
      <c r="F20" s="209"/>
    </row>
    <row r="21" spans="1:6" ht="15" customHeight="1" x14ac:dyDescent="0.25">
      <c r="A21" s="209"/>
      <c r="B21" s="209"/>
      <c r="C21" s="209"/>
      <c r="D21" s="209"/>
      <c r="E21" s="209"/>
      <c r="F21" s="209"/>
    </row>
    <row r="22" spans="1:6" ht="15" customHeight="1" x14ac:dyDescent="0.25">
      <c r="A22" s="209"/>
      <c r="B22" s="209"/>
      <c r="C22" s="209"/>
      <c r="D22" s="209"/>
      <c r="E22" s="209"/>
      <c r="F22" s="209"/>
    </row>
    <row r="23" spans="1:6" ht="15" customHeight="1" x14ac:dyDescent="0.25">
      <c r="A23" s="209"/>
      <c r="B23" s="209"/>
      <c r="C23" s="209"/>
      <c r="D23" s="209"/>
      <c r="E23" s="209"/>
      <c r="F23" s="209"/>
    </row>
    <row r="24" spans="1:6" ht="15" customHeight="1" x14ac:dyDescent="0.25">
      <c r="A24" s="209"/>
      <c r="B24" s="209"/>
      <c r="C24" s="209"/>
      <c r="D24" s="209"/>
      <c r="E24" s="209"/>
      <c r="F24" s="209"/>
    </row>
    <row r="25" spans="1:6" ht="15" customHeight="1" x14ac:dyDescent="0.25">
      <c r="A25" s="209"/>
      <c r="B25" s="209"/>
      <c r="C25" s="209"/>
      <c r="D25" s="209"/>
      <c r="E25" s="209"/>
      <c r="F25" s="209"/>
    </row>
    <row r="26" spans="1:6" ht="15" customHeight="1" x14ac:dyDescent="0.25">
      <c r="A26" s="209"/>
      <c r="B26" s="209"/>
      <c r="C26" s="209"/>
      <c r="D26" s="209"/>
      <c r="E26" s="209"/>
      <c r="F26" s="209"/>
    </row>
    <row r="27" spans="1:6" ht="15" customHeight="1" x14ac:dyDescent="0.25">
      <c r="A27" s="209"/>
      <c r="B27" s="209"/>
      <c r="C27" s="209"/>
      <c r="D27" s="209"/>
      <c r="E27" s="209"/>
      <c r="F27" s="209"/>
    </row>
    <row r="28" spans="1:6" ht="15" customHeight="1" x14ac:dyDescent="0.25">
      <c r="A28" s="209"/>
      <c r="B28" s="209"/>
      <c r="C28" s="209"/>
      <c r="D28" s="209"/>
      <c r="E28" s="209"/>
      <c r="F28" s="209"/>
    </row>
    <row r="29" spans="1:6" ht="15" customHeight="1" x14ac:dyDescent="0.25">
      <c r="A29" s="209"/>
      <c r="B29" s="209"/>
      <c r="C29" s="209"/>
      <c r="D29" s="209"/>
      <c r="E29" s="209"/>
      <c r="F29" s="209"/>
    </row>
    <row r="30" spans="1:6" ht="15" customHeight="1" x14ac:dyDescent="0.25">
      <c r="A30" s="209"/>
      <c r="B30" s="209"/>
      <c r="C30" s="209"/>
      <c r="D30" s="209"/>
      <c r="E30" s="209"/>
      <c r="F30" s="209"/>
    </row>
    <row r="31" spans="1:6" ht="15" customHeight="1" x14ac:dyDescent="0.25">
      <c r="A31" s="209"/>
      <c r="B31" s="209"/>
      <c r="C31" s="209"/>
      <c r="D31" s="209"/>
      <c r="E31" s="209"/>
      <c r="F31" s="209"/>
    </row>
    <row r="32" spans="1:6" ht="15" customHeight="1" x14ac:dyDescent="0.25">
      <c r="A32" s="209"/>
      <c r="B32" s="209"/>
      <c r="C32" s="209"/>
      <c r="D32" s="209"/>
      <c r="E32" s="209"/>
      <c r="F32" s="209"/>
    </row>
    <row r="33" spans="1:7" ht="15" customHeight="1" x14ac:dyDescent="0.25">
      <c r="A33" s="209"/>
      <c r="B33" s="209"/>
      <c r="C33" s="209"/>
      <c r="D33" s="209"/>
      <c r="E33" s="209"/>
      <c r="F33" s="209"/>
    </row>
    <row r="34" spans="1:7" s="1" customFormat="1" ht="30" customHeight="1" x14ac:dyDescent="0.25">
      <c r="A34" s="123" t="s">
        <v>63</v>
      </c>
      <c r="B34" s="476" t="s">
        <v>342</v>
      </c>
      <c r="C34" s="410"/>
      <c r="D34" s="410"/>
      <c r="E34" s="410"/>
      <c r="F34" s="410"/>
    </row>
    <row r="35" spans="1:7" s="1" customFormat="1" ht="15" customHeight="1" x14ac:dyDescent="0.25">
      <c r="A35" s="369" t="s">
        <v>282</v>
      </c>
      <c r="B35" s="421" t="s">
        <v>323</v>
      </c>
      <c r="C35" s="422"/>
      <c r="D35" s="15"/>
      <c r="E35" s="15"/>
      <c r="F35"/>
      <c r="G35"/>
    </row>
    <row r="36" spans="1:7" s="1" customFormat="1" ht="15" customHeight="1" x14ac:dyDescent="0.25">
      <c r="A36" s="370" t="s">
        <v>4</v>
      </c>
      <c r="B36" s="497" t="s">
        <v>344</v>
      </c>
      <c r="C36" s="408"/>
      <c r="D36" s="410"/>
      <c r="E36" s="15"/>
      <c r="F36"/>
      <c r="G36"/>
    </row>
    <row r="37" spans="1:7" ht="15" customHeight="1" x14ac:dyDescent="0.25">
      <c r="A37" s="209"/>
      <c r="B37" s="209"/>
      <c r="C37" s="209"/>
      <c r="D37" s="209"/>
      <c r="E37" s="209"/>
      <c r="F37" s="209"/>
    </row>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62" spans="1:14" ht="12" customHeight="1" x14ac:dyDescent="0.25">
      <c r="A62" s="98"/>
      <c r="B62" s="98"/>
      <c r="C62" s="98"/>
      <c r="D62" s="98"/>
      <c r="E62" s="98"/>
      <c r="F62" s="98"/>
      <c r="G62" s="98"/>
      <c r="H62" s="98"/>
      <c r="I62" s="98"/>
    </row>
    <row r="63" spans="1:14" ht="12" customHeight="1" x14ac:dyDescent="0.25">
      <c r="A63" s="98"/>
      <c r="B63" s="98"/>
      <c r="C63" s="98"/>
      <c r="D63" s="98"/>
      <c r="E63" s="98"/>
      <c r="F63" s="98"/>
      <c r="G63" s="98"/>
      <c r="H63" s="98"/>
      <c r="I63" s="98"/>
    </row>
    <row r="64" spans="1:14" ht="12" customHeight="1" x14ac:dyDescent="0.25">
      <c r="A64" s="39"/>
      <c r="B64" s="64"/>
      <c r="C64" s="96"/>
      <c r="D64" s="96"/>
      <c r="E64" s="96"/>
      <c r="F64" s="96"/>
      <c r="G64" s="96"/>
      <c r="H64" s="96"/>
      <c r="I64" s="96"/>
      <c r="L64" s="9"/>
      <c r="M64" s="9"/>
      <c r="N64" s="9"/>
    </row>
    <row r="65" spans="1:9" ht="12" customHeight="1" x14ac:dyDescent="0.25">
      <c r="A65" s="39"/>
      <c r="B65" s="65"/>
      <c r="C65" s="96"/>
      <c r="D65" s="96"/>
      <c r="E65" s="96"/>
      <c r="F65" s="96"/>
      <c r="G65" s="96"/>
      <c r="H65" s="96"/>
      <c r="I65" s="96"/>
    </row>
    <row r="66" spans="1:9" ht="12" customHeight="1" x14ac:dyDescent="0.25">
      <c r="A66" s="39"/>
      <c r="B66" s="66"/>
      <c r="C66" s="97"/>
      <c r="D66" s="97"/>
      <c r="E66" s="97"/>
      <c r="F66" s="97"/>
      <c r="G66" s="97"/>
      <c r="H66" s="97"/>
      <c r="I66" s="97"/>
    </row>
    <row r="67" spans="1:9" ht="12" customHeight="1" x14ac:dyDescent="0.25">
      <c r="A67" s="39"/>
      <c r="B67" s="67"/>
      <c r="C67" s="39"/>
      <c r="D67" s="96"/>
      <c r="E67" s="96"/>
      <c r="F67" s="96"/>
      <c r="G67" s="96"/>
      <c r="H67" s="96"/>
      <c r="I67" s="96"/>
    </row>
    <row r="68" spans="1:9" s="98" customFormat="1" ht="12" customHeight="1" x14ac:dyDescent="0.25">
      <c r="B68" s="65"/>
      <c r="C68" s="246"/>
      <c r="D68" s="245"/>
      <c r="E68" s="245"/>
      <c r="F68" s="245"/>
    </row>
    <row r="69" spans="1:9" s="98" customFormat="1" ht="12" customHeight="1" x14ac:dyDescent="0.25">
      <c r="B69" s="66"/>
      <c r="C69" s="244"/>
      <c r="D69" s="245"/>
      <c r="E69" s="245"/>
      <c r="F69" s="245"/>
    </row>
    <row r="70" spans="1:9" s="98" customFormat="1" ht="12" customHeight="1" x14ac:dyDescent="0.25">
      <c r="B70" s="67"/>
      <c r="C70" s="246"/>
      <c r="D70" s="245"/>
      <c r="E70" s="245"/>
      <c r="F70" s="245"/>
    </row>
    <row r="71" spans="1:9" s="98" customFormat="1" ht="12" customHeight="1" x14ac:dyDescent="0.25"/>
  </sheetData>
  <mergeCells count="6">
    <mergeCell ref="B2:F2"/>
    <mergeCell ref="B3:C3"/>
    <mergeCell ref="D3:F3"/>
    <mergeCell ref="B36:D36"/>
    <mergeCell ref="B34:F34"/>
    <mergeCell ref="B35:C35"/>
  </mergeCells>
  <hyperlinks>
    <hyperlink ref="F1" location="Índice!A1" display="[índice Ç]"/>
    <hyperlink ref="B36"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topLeftCell="A4" zoomScaleNormal="100" workbookViewId="0">
      <selection activeCell="E27" sqref="E27"/>
    </sheetView>
  </sheetViews>
  <sheetFormatPr defaultColWidth="8.7109375" defaultRowHeight="12" customHeight="1" x14ac:dyDescent="0.25"/>
  <cols>
    <col min="1" max="1" width="12.7109375" style="92" customWidth="1"/>
    <col min="2" max="6" width="16.7109375" style="92" customWidth="1"/>
    <col min="7" max="16384" width="8.7109375" style="92"/>
  </cols>
  <sheetData>
    <row r="1" spans="1:16" s="1" customFormat="1" ht="30" customHeight="1" x14ac:dyDescent="0.25">
      <c r="A1" s="100" t="s">
        <v>0</v>
      </c>
      <c r="B1" s="216" t="s">
        <v>1</v>
      </c>
      <c r="C1" s="217"/>
      <c r="D1" s="217"/>
      <c r="E1" s="215"/>
      <c r="F1" s="228" t="s">
        <v>269</v>
      </c>
    </row>
    <row r="2" spans="1:16" s="33" customFormat="1" ht="45" customHeight="1" x14ac:dyDescent="0.25">
      <c r="A2" s="31"/>
      <c r="B2" s="404" t="s">
        <v>335</v>
      </c>
      <c r="C2" s="450"/>
      <c r="D2" s="450"/>
      <c r="E2" s="450"/>
      <c r="F2" s="450"/>
      <c r="G2" s="41"/>
      <c r="H2" s="41"/>
      <c r="I2" s="41"/>
      <c r="J2" s="93"/>
      <c r="K2" s="93"/>
      <c r="L2" s="32"/>
      <c r="M2" s="32"/>
      <c r="N2" s="32"/>
      <c r="O2" s="41"/>
      <c r="P2" s="41"/>
    </row>
    <row r="3" spans="1:16" s="13" customFormat="1" ht="15" customHeight="1" x14ac:dyDescent="0.25">
      <c r="B3" s="465" t="s">
        <v>262</v>
      </c>
      <c r="C3" s="466"/>
      <c r="D3" s="466"/>
      <c r="E3" s="466"/>
      <c r="F3" s="466"/>
      <c r="G3" s="41"/>
      <c r="H3" s="41"/>
      <c r="I3" s="41"/>
      <c r="J3" s="10"/>
      <c r="K3" s="10"/>
      <c r="L3" s="10"/>
      <c r="M3" s="10"/>
      <c r="N3" s="10"/>
      <c r="O3" s="41"/>
      <c r="P3" s="41"/>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row r="21" spans="1:7" ht="15" customHeight="1" x14ac:dyDescent="0.25"/>
    <row r="22" spans="1:7" ht="15" customHeight="1" x14ac:dyDescent="0.25"/>
    <row r="23" spans="1:7" ht="15" customHeight="1" x14ac:dyDescent="0.25"/>
    <row r="24" spans="1:7" s="94" customFormat="1" ht="30" customHeight="1" x14ac:dyDescent="0.25">
      <c r="A24" s="71" t="s">
        <v>79</v>
      </c>
      <c r="B24" s="464" t="s">
        <v>268</v>
      </c>
      <c r="C24" s="469"/>
      <c r="D24" s="469"/>
      <c r="E24" s="469"/>
      <c r="F24" s="469"/>
    </row>
    <row r="25" spans="1:7" s="1" customFormat="1" ht="15" customHeight="1" x14ac:dyDescent="0.25">
      <c r="A25" s="123" t="s">
        <v>63</v>
      </c>
      <c r="B25" s="451" t="s">
        <v>341</v>
      </c>
      <c r="C25" s="410"/>
      <c r="D25" s="410"/>
      <c r="E25" s="410"/>
    </row>
    <row r="26" spans="1:7" s="1" customFormat="1" ht="15" customHeight="1" x14ac:dyDescent="0.25">
      <c r="A26" s="369" t="s">
        <v>282</v>
      </c>
      <c r="B26" s="421" t="s">
        <v>323</v>
      </c>
      <c r="C26" s="422"/>
      <c r="D26" s="15"/>
      <c r="E26" s="15"/>
      <c r="F26"/>
      <c r="G26"/>
    </row>
    <row r="27" spans="1:7" s="1" customFormat="1" ht="15" customHeight="1" x14ac:dyDescent="0.25">
      <c r="A27" s="370" t="s">
        <v>4</v>
      </c>
      <c r="B27" s="497" t="s">
        <v>344</v>
      </c>
      <c r="C27" s="408"/>
      <c r="D27" s="410"/>
      <c r="E27" s="15"/>
      <c r="F27"/>
      <c r="G27"/>
    </row>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98"/>
      <c r="B53" s="98"/>
      <c r="C53" s="98"/>
      <c r="D53" s="98"/>
      <c r="E53" s="98"/>
      <c r="F53" s="98"/>
      <c r="G53" s="98"/>
      <c r="H53" s="98"/>
      <c r="I53" s="98"/>
    </row>
    <row r="54" spans="1:14" ht="12" customHeight="1" x14ac:dyDescent="0.25">
      <c r="A54" s="98"/>
      <c r="B54" s="98"/>
      <c r="C54" s="98"/>
      <c r="D54" s="98"/>
      <c r="E54" s="98"/>
      <c r="F54" s="98"/>
      <c r="G54" s="98"/>
      <c r="H54" s="98"/>
      <c r="I54" s="98"/>
    </row>
    <row r="55" spans="1:14" ht="12" customHeight="1" x14ac:dyDescent="0.25">
      <c r="A55" s="39"/>
      <c r="B55" s="64"/>
      <c r="C55" s="96"/>
      <c r="D55" s="96"/>
      <c r="E55" s="96"/>
      <c r="F55" s="96"/>
      <c r="G55" s="96"/>
      <c r="H55" s="96"/>
      <c r="I55" s="96"/>
      <c r="L55" s="9"/>
      <c r="M55" s="9"/>
      <c r="N55" s="9"/>
    </row>
    <row r="56" spans="1:14" ht="12" customHeight="1" x14ac:dyDescent="0.25">
      <c r="A56" s="39"/>
      <c r="B56" s="65"/>
      <c r="C56" s="96"/>
      <c r="D56" s="96"/>
      <c r="E56" s="96"/>
      <c r="F56" s="96"/>
      <c r="G56" s="96"/>
      <c r="H56" s="96"/>
      <c r="I56" s="96"/>
    </row>
    <row r="57" spans="1:14" ht="12" customHeight="1" x14ac:dyDescent="0.25">
      <c r="A57" s="39"/>
      <c r="B57" s="66"/>
      <c r="C57" s="97"/>
      <c r="D57" s="97"/>
      <c r="E57" s="97"/>
      <c r="F57" s="97"/>
      <c r="G57" s="97"/>
      <c r="H57" s="97"/>
      <c r="I57" s="97"/>
    </row>
    <row r="58" spans="1:14" ht="12" customHeight="1" x14ac:dyDescent="0.25">
      <c r="A58" s="39"/>
      <c r="B58" s="67"/>
      <c r="C58" s="39"/>
      <c r="D58" s="96"/>
      <c r="E58" s="96"/>
      <c r="F58" s="96"/>
      <c r="G58" s="96"/>
      <c r="H58" s="96"/>
      <c r="I58" s="96"/>
    </row>
    <row r="59" spans="1:14" s="98" customFormat="1" ht="12" customHeight="1" x14ac:dyDescent="0.25">
      <c r="B59" s="65"/>
      <c r="C59" s="91"/>
      <c r="D59" s="90"/>
      <c r="E59" s="90"/>
      <c r="F59" s="90"/>
    </row>
    <row r="60" spans="1:14" s="98" customFormat="1" ht="12" customHeight="1" x14ac:dyDescent="0.25">
      <c r="B60" s="66"/>
      <c r="C60" s="89"/>
      <c r="D60" s="90"/>
      <c r="E60" s="90"/>
      <c r="F60" s="90"/>
    </row>
    <row r="61" spans="1:14" s="98" customFormat="1" ht="12" customHeight="1" x14ac:dyDescent="0.25">
      <c r="B61" s="67"/>
      <c r="C61" s="91"/>
      <c r="D61" s="90"/>
      <c r="E61" s="90"/>
      <c r="F61" s="90"/>
    </row>
    <row r="62" spans="1:14" s="98"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topLeftCell="A19" zoomScaleNormal="100" workbookViewId="0">
      <selection activeCell="E27" sqref="E27"/>
    </sheetView>
  </sheetViews>
  <sheetFormatPr defaultColWidth="8.7109375" defaultRowHeight="12" customHeight="1" x14ac:dyDescent="0.25"/>
  <cols>
    <col min="1" max="1" width="12.7109375" style="92" customWidth="1"/>
    <col min="2" max="6" width="16.7109375" style="92" customWidth="1"/>
    <col min="7" max="16384" width="8.7109375" style="92"/>
  </cols>
  <sheetData>
    <row r="1" spans="1:16" s="1" customFormat="1" ht="30" customHeight="1" x14ac:dyDescent="0.25">
      <c r="A1" s="100" t="s">
        <v>0</v>
      </c>
      <c r="B1" s="216" t="s">
        <v>1</v>
      </c>
      <c r="C1" s="217"/>
      <c r="D1" s="217"/>
      <c r="E1" s="215"/>
      <c r="F1" s="228" t="s">
        <v>269</v>
      </c>
    </row>
    <row r="2" spans="1:16" s="33" customFormat="1" ht="30" customHeight="1" x14ac:dyDescent="0.25">
      <c r="A2" s="31"/>
      <c r="B2" s="404" t="s">
        <v>336</v>
      </c>
      <c r="C2" s="450"/>
      <c r="D2" s="450"/>
      <c r="E2" s="450"/>
      <c r="F2" s="450"/>
      <c r="G2" s="41"/>
      <c r="H2" s="41"/>
      <c r="I2" s="41"/>
      <c r="J2" s="93"/>
      <c r="K2" s="93"/>
      <c r="L2" s="32"/>
      <c r="M2" s="32"/>
      <c r="N2" s="32"/>
      <c r="O2" s="41"/>
      <c r="P2" s="41"/>
    </row>
    <row r="3" spans="1:16" s="174" customFormat="1" ht="15" customHeight="1" x14ac:dyDescent="0.25">
      <c r="B3" s="477" t="s">
        <v>132</v>
      </c>
      <c r="C3" s="478"/>
      <c r="D3" s="478"/>
      <c r="E3" s="478"/>
      <c r="F3" s="478"/>
      <c r="G3" s="175"/>
      <c r="H3" s="175"/>
      <c r="I3" s="175"/>
      <c r="J3" s="176"/>
      <c r="K3" s="176"/>
      <c r="L3" s="176"/>
      <c r="M3" s="176"/>
      <c r="N3" s="176"/>
      <c r="O3" s="175"/>
      <c r="P3" s="175"/>
    </row>
    <row r="4" spans="1:16" ht="22.5" customHeight="1" x14ac:dyDescent="0.25"/>
    <row r="5" spans="1:16" ht="22.5" customHeight="1" x14ac:dyDescent="0.25"/>
    <row r="6" spans="1:16" ht="22.5" customHeight="1" x14ac:dyDescent="0.25"/>
    <row r="7" spans="1:16" ht="22.5" customHeight="1" x14ac:dyDescent="0.25"/>
    <row r="8" spans="1:16" ht="22.5" customHeight="1" x14ac:dyDescent="0.25"/>
    <row r="9" spans="1:16" ht="22.5" customHeight="1" x14ac:dyDescent="0.25"/>
    <row r="10" spans="1:16" ht="22.5" customHeight="1" x14ac:dyDescent="0.25"/>
    <row r="11" spans="1:16" ht="22.5" customHeight="1" x14ac:dyDescent="0.25"/>
    <row r="12" spans="1:16" ht="22.5" customHeight="1" x14ac:dyDescent="0.25"/>
    <row r="13" spans="1:16" ht="22.5" customHeight="1" x14ac:dyDescent="0.25"/>
    <row r="14" spans="1:16" ht="22.5" customHeight="1" x14ac:dyDescent="0.25"/>
    <row r="15" spans="1:16" ht="22.5" customHeight="1" x14ac:dyDescent="0.25"/>
    <row r="16" spans="1:16" ht="22.5" customHeight="1" x14ac:dyDescent="0.25"/>
    <row r="17" spans="1:7" ht="22.5" customHeight="1" x14ac:dyDescent="0.25"/>
    <row r="18" spans="1:7" ht="22.5" customHeight="1" x14ac:dyDescent="0.25"/>
    <row r="19" spans="1:7" ht="22.5" customHeight="1" x14ac:dyDescent="0.25"/>
    <row r="20" spans="1:7" ht="22.5" customHeight="1" x14ac:dyDescent="0.25"/>
    <row r="21" spans="1:7" ht="22.5" customHeight="1" x14ac:dyDescent="0.25"/>
    <row r="22" spans="1:7" ht="22.5" customHeight="1" x14ac:dyDescent="0.25"/>
    <row r="23" spans="1:7" ht="15" customHeight="1" x14ac:dyDescent="0.25"/>
    <row r="24" spans="1:7" s="94" customFormat="1" ht="15" customHeight="1" x14ac:dyDescent="0.25">
      <c r="A24" s="71" t="s">
        <v>79</v>
      </c>
      <c r="B24" s="464" t="s">
        <v>274</v>
      </c>
      <c r="C24" s="469"/>
      <c r="D24" s="469"/>
      <c r="E24" s="469"/>
      <c r="F24" s="469"/>
    </row>
    <row r="25" spans="1:7" s="1" customFormat="1" ht="15" customHeight="1" x14ac:dyDescent="0.25">
      <c r="A25" s="123" t="s">
        <v>63</v>
      </c>
      <c r="B25" s="451" t="s">
        <v>343</v>
      </c>
      <c r="C25" s="410"/>
      <c r="D25" s="410"/>
      <c r="E25" s="410"/>
    </row>
    <row r="26" spans="1:7" s="1" customFormat="1" ht="15" customHeight="1" x14ac:dyDescent="0.25">
      <c r="A26" s="369" t="s">
        <v>282</v>
      </c>
      <c r="B26" s="421" t="s">
        <v>323</v>
      </c>
      <c r="C26" s="422"/>
      <c r="D26" s="15"/>
      <c r="E26" s="15"/>
      <c r="F26"/>
      <c r="G26"/>
    </row>
    <row r="27" spans="1:7" s="1" customFormat="1" ht="15" customHeight="1" x14ac:dyDescent="0.25">
      <c r="A27" s="370" t="s">
        <v>4</v>
      </c>
      <c r="B27" s="497" t="s">
        <v>344</v>
      </c>
      <c r="C27" s="408"/>
      <c r="D27" s="410"/>
      <c r="E27" s="15"/>
      <c r="F27"/>
      <c r="G27"/>
    </row>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98"/>
      <c r="B53" s="98"/>
      <c r="C53" s="98"/>
      <c r="D53" s="98"/>
      <c r="E53" s="98"/>
      <c r="F53" s="98"/>
      <c r="G53" s="98"/>
      <c r="H53" s="98"/>
      <c r="I53" s="98"/>
    </row>
    <row r="54" spans="1:14" ht="12" customHeight="1" x14ac:dyDescent="0.25">
      <c r="A54" s="98"/>
      <c r="B54" s="98"/>
      <c r="C54" s="98"/>
      <c r="D54" s="98"/>
      <c r="E54" s="98"/>
      <c r="F54" s="98"/>
      <c r="G54" s="98"/>
      <c r="H54" s="98"/>
      <c r="I54" s="98"/>
    </row>
    <row r="55" spans="1:14" ht="12" customHeight="1" x14ac:dyDescent="0.25">
      <c r="A55" s="39"/>
      <c r="B55" s="64"/>
      <c r="C55" s="96"/>
      <c r="D55" s="96"/>
      <c r="E55" s="96"/>
      <c r="F55" s="96"/>
      <c r="G55" s="96"/>
      <c r="H55" s="96"/>
      <c r="I55" s="96"/>
      <c r="L55" s="9"/>
      <c r="M55" s="9"/>
      <c r="N55" s="9"/>
    </row>
    <row r="56" spans="1:14" ht="12" customHeight="1" x14ac:dyDescent="0.25">
      <c r="A56" s="39"/>
      <c r="B56" s="65"/>
      <c r="C56" s="96"/>
      <c r="D56" s="96"/>
      <c r="E56" s="96"/>
      <c r="F56" s="96"/>
      <c r="G56" s="96"/>
      <c r="H56" s="96"/>
      <c r="I56" s="96"/>
    </row>
    <row r="57" spans="1:14" ht="12" customHeight="1" x14ac:dyDescent="0.25">
      <c r="A57" s="39"/>
      <c r="B57" s="66"/>
      <c r="C57" s="97"/>
      <c r="D57" s="97"/>
      <c r="E57" s="97"/>
      <c r="F57" s="97"/>
      <c r="G57" s="97"/>
      <c r="H57" s="97"/>
      <c r="I57" s="97"/>
    </row>
    <row r="58" spans="1:14" ht="12" customHeight="1" x14ac:dyDescent="0.25">
      <c r="A58" s="39"/>
      <c r="B58" s="67"/>
      <c r="C58" s="39"/>
      <c r="D58" s="96"/>
      <c r="E58" s="96"/>
      <c r="F58" s="96"/>
      <c r="G58" s="96"/>
      <c r="H58" s="96"/>
      <c r="I58" s="96"/>
    </row>
    <row r="59" spans="1:14" s="98" customFormat="1" ht="12" customHeight="1" x14ac:dyDescent="0.25">
      <c r="B59" s="65"/>
      <c r="C59" s="91"/>
      <c r="D59" s="90"/>
      <c r="E59" s="90"/>
      <c r="F59" s="90"/>
    </row>
    <row r="60" spans="1:14" s="98" customFormat="1" ht="12" customHeight="1" x14ac:dyDescent="0.25">
      <c r="B60" s="66"/>
      <c r="C60" s="89"/>
      <c r="D60" s="90"/>
      <c r="E60" s="90"/>
      <c r="F60" s="90"/>
    </row>
    <row r="61" spans="1:14" s="98" customFormat="1" ht="12" customHeight="1" x14ac:dyDescent="0.25">
      <c r="B61" s="67"/>
      <c r="C61" s="91"/>
      <c r="D61" s="90"/>
      <c r="E61" s="90"/>
      <c r="F61" s="90"/>
    </row>
    <row r="62" spans="1:14" s="98"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topLeftCell="A16" zoomScaleNormal="100" workbookViewId="0">
      <selection activeCell="E27" sqref="E27"/>
    </sheetView>
  </sheetViews>
  <sheetFormatPr defaultColWidth="8.7109375" defaultRowHeight="12" customHeight="1" x14ac:dyDescent="0.25"/>
  <cols>
    <col min="1" max="1" width="12.7109375" style="92" customWidth="1"/>
    <col min="2" max="6" width="16.7109375" style="92" customWidth="1"/>
    <col min="7" max="16384" width="8.7109375" style="92"/>
  </cols>
  <sheetData>
    <row r="1" spans="1:16" s="1" customFormat="1" ht="30" customHeight="1" x14ac:dyDescent="0.25">
      <c r="A1" s="100" t="s">
        <v>0</v>
      </c>
      <c r="B1" s="216" t="s">
        <v>1</v>
      </c>
      <c r="C1" s="217"/>
      <c r="D1" s="217"/>
      <c r="E1" s="215"/>
      <c r="F1" s="228" t="s">
        <v>269</v>
      </c>
    </row>
    <row r="2" spans="1:16" s="33" customFormat="1" ht="45" customHeight="1" x14ac:dyDescent="0.25">
      <c r="A2" s="31"/>
      <c r="B2" s="423" t="s">
        <v>337</v>
      </c>
      <c r="C2" s="479"/>
      <c r="D2" s="479"/>
      <c r="E2" s="479"/>
      <c r="F2" s="479"/>
      <c r="G2" s="41"/>
      <c r="H2" s="41"/>
      <c r="I2" s="41"/>
      <c r="J2" s="93"/>
      <c r="K2" s="93"/>
      <c r="L2" s="32"/>
      <c r="M2" s="32"/>
      <c r="N2" s="32"/>
      <c r="O2" s="41"/>
      <c r="P2" s="41"/>
    </row>
    <row r="3" spans="1:16" s="174" customFormat="1" ht="15" customHeight="1" x14ac:dyDescent="0.25">
      <c r="B3" s="480" t="s">
        <v>260</v>
      </c>
      <c r="C3" s="481"/>
      <c r="D3" s="481"/>
      <c r="E3" s="481"/>
      <c r="F3" s="481"/>
      <c r="G3" s="175"/>
      <c r="H3" s="175"/>
      <c r="I3" s="175"/>
      <c r="J3" s="176"/>
      <c r="K3" s="176"/>
      <c r="L3" s="176"/>
      <c r="M3" s="176"/>
      <c r="N3" s="176"/>
      <c r="O3" s="175"/>
      <c r="P3" s="175"/>
    </row>
    <row r="4" spans="1:16" ht="22.5" customHeight="1" x14ac:dyDescent="0.25"/>
    <row r="5" spans="1:16" ht="22.5" customHeight="1" x14ac:dyDescent="0.25"/>
    <row r="6" spans="1:16" ht="22.5" customHeight="1" x14ac:dyDescent="0.25"/>
    <row r="7" spans="1:16" ht="22.5" customHeight="1" x14ac:dyDescent="0.25"/>
    <row r="8" spans="1:16" ht="22.5" customHeight="1" x14ac:dyDescent="0.25"/>
    <row r="9" spans="1:16" ht="22.5" customHeight="1" x14ac:dyDescent="0.25"/>
    <row r="10" spans="1:16" ht="22.5" customHeight="1" x14ac:dyDescent="0.25"/>
    <row r="11" spans="1:16" ht="22.5" customHeight="1" x14ac:dyDescent="0.25"/>
    <row r="12" spans="1:16" ht="22.5" customHeight="1" x14ac:dyDescent="0.25"/>
    <row r="13" spans="1:16" ht="22.5" customHeight="1" x14ac:dyDescent="0.25"/>
    <row r="14" spans="1:16" ht="22.5" customHeight="1" x14ac:dyDescent="0.25"/>
    <row r="15" spans="1:16" ht="22.5" customHeight="1" x14ac:dyDescent="0.25"/>
    <row r="16" spans="1:16" ht="22.5" customHeight="1" x14ac:dyDescent="0.25"/>
    <row r="17" spans="1:7" ht="22.5" customHeight="1" x14ac:dyDescent="0.25"/>
    <row r="18" spans="1:7" ht="22.5" customHeight="1" x14ac:dyDescent="0.25"/>
    <row r="19" spans="1:7" ht="22.5" customHeight="1" x14ac:dyDescent="0.25"/>
    <row r="20" spans="1:7" ht="22.5" customHeight="1" x14ac:dyDescent="0.25"/>
    <row r="21" spans="1:7" ht="22.5" customHeight="1" x14ac:dyDescent="0.25"/>
    <row r="22" spans="1:7" ht="22.5" customHeight="1" x14ac:dyDescent="0.25"/>
    <row r="23" spans="1:7" ht="15" customHeight="1" x14ac:dyDescent="0.25"/>
    <row r="24" spans="1:7" s="94" customFormat="1" ht="15" customHeight="1" x14ac:dyDescent="0.25">
      <c r="A24" s="71" t="s">
        <v>79</v>
      </c>
      <c r="B24" s="464" t="s">
        <v>274</v>
      </c>
      <c r="C24" s="469"/>
      <c r="D24" s="469"/>
      <c r="E24" s="469"/>
      <c r="F24" s="469"/>
    </row>
    <row r="25" spans="1:7" s="1" customFormat="1" ht="15" customHeight="1" x14ac:dyDescent="0.25">
      <c r="A25" s="123" t="s">
        <v>63</v>
      </c>
      <c r="B25" s="451" t="s">
        <v>343</v>
      </c>
      <c r="C25" s="410"/>
      <c r="D25" s="410"/>
      <c r="E25" s="410"/>
    </row>
    <row r="26" spans="1:7" s="1" customFormat="1" ht="15" customHeight="1" x14ac:dyDescent="0.25">
      <c r="A26" s="369" t="s">
        <v>282</v>
      </c>
      <c r="B26" s="421" t="s">
        <v>323</v>
      </c>
      <c r="C26" s="422"/>
      <c r="D26" s="15"/>
      <c r="E26" s="15"/>
      <c r="F26"/>
      <c r="G26"/>
    </row>
    <row r="27" spans="1:7" s="1" customFormat="1" ht="15" customHeight="1" x14ac:dyDescent="0.25">
      <c r="A27" s="370" t="s">
        <v>4</v>
      </c>
      <c r="B27" s="497" t="s">
        <v>344</v>
      </c>
      <c r="C27" s="408"/>
      <c r="D27" s="410"/>
      <c r="E27" s="15"/>
      <c r="F27"/>
      <c r="G27"/>
    </row>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98"/>
      <c r="B53" s="98"/>
      <c r="C53" s="98"/>
      <c r="D53" s="98"/>
      <c r="E53" s="98"/>
      <c r="F53" s="98"/>
      <c r="G53" s="98"/>
      <c r="H53" s="98"/>
      <c r="I53" s="98"/>
    </row>
    <row r="54" spans="1:14" ht="12" customHeight="1" x14ac:dyDescent="0.25">
      <c r="A54" s="98"/>
      <c r="B54" s="98"/>
      <c r="C54" s="98"/>
      <c r="D54" s="98"/>
      <c r="E54" s="98"/>
      <c r="F54" s="98"/>
      <c r="G54" s="98"/>
      <c r="H54" s="98"/>
      <c r="I54" s="98"/>
    </row>
    <row r="55" spans="1:14" ht="12" customHeight="1" x14ac:dyDescent="0.25">
      <c r="A55" s="39"/>
      <c r="B55" s="64"/>
      <c r="C55" s="96"/>
      <c r="D55" s="96"/>
      <c r="E55" s="96"/>
      <c r="F55" s="96"/>
      <c r="G55" s="96"/>
      <c r="H55" s="96"/>
      <c r="I55" s="96"/>
      <c r="L55" s="9"/>
      <c r="M55" s="9"/>
      <c r="N55" s="9"/>
    </row>
    <row r="56" spans="1:14" ht="12" customHeight="1" x14ac:dyDescent="0.25">
      <c r="A56" s="39"/>
      <c r="B56" s="65"/>
      <c r="C56" s="96"/>
      <c r="D56" s="96"/>
      <c r="E56" s="96"/>
      <c r="F56" s="96"/>
      <c r="G56" s="96"/>
      <c r="H56" s="96"/>
      <c r="I56" s="96"/>
    </row>
    <row r="57" spans="1:14" ht="12" customHeight="1" x14ac:dyDescent="0.25">
      <c r="A57" s="39"/>
      <c r="B57" s="66"/>
      <c r="C57" s="97"/>
      <c r="D57" s="97"/>
      <c r="E57" s="97"/>
      <c r="F57" s="97"/>
      <c r="G57" s="97"/>
      <c r="H57" s="97"/>
      <c r="I57" s="97"/>
    </row>
    <row r="58" spans="1:14" ht="12" customHeight="1" x14ac:dyDescent="0.25">
      <c r="A58" s="39"/>
      <c r="B58" s="67"/>
      <c r="C58" s="39"/>
      <c r="D58" s="96"/>
      <c r="E58" s="96"/>
      <c r="F58" s="96"/>
      <c r="G58" s="96"/>
      <c r="H58" s="96"/>
      <c r="I58" s="96"/>
    </row>
    <row r="59" spans="1:14" s="98" customFormat="1" ht="12" customHeight="1" x14ac:dyDescent="0.25">
      <c r="B59" s="65"/>
      <c r="C59" s="91"/>
      <c r="D59" s="90"/>
      <c r="E59" s="90"/>
      <c r="F59" s="90"/>
    </row>
    <row r="60" spans="1:14" s="98" customFormat="1" ht="12" customHeight="1" x14ac:dyDescent="0.25">
      <c r="B60" s="66"/>
      <c r="C60" s="89"/>
      <c r="D60" s="90"/>
      <c r="E60" s="90"/>
      <c r="F60" s="90"/>
    </row>
    <row r="61" spans="1:14" s="98" customFormat="1" ht="12" customHeight="1" x14ac:dyDescent="0.25">
      <c r="B61" s="67"/>
      <c r="C61" s="91"/>
      <c r="D61" s="90"/>
      <c r="E61" s="90"/>
      <c r="F61" s="90"/>
    </row>
    <row r="62" spans="1:14" s="98"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topLeftCell="A22" zoomScaleNormal="100" workbookViewId="0">
      <selection activeCell="B27" sqref="B27:D27"/>
    </sheetView>
  </sheetViews>
  <sheetFormatPr defaultColWidth="8.7109375" defaultRowHeight="12" customHeight="1" x14ac:dyDescent="0.25"/>
  <cols>
    <col min="1" max="1" width="12.7109375" style="92" customWidth="1"/>
    <col min="2" max="6" width="16.7109375" style="92" customWidth="1"/>
    <col min="7" max="16384" width="8.7109375" style="92"/>
  </cols>
  <sheetData>
    <row r="1" spans="1:16" s="1" customFormat="1" ht="30" customHeight="1" x14ac:dyDescent="0.25">
      <c r="A1" s="100" t="s">
        <v>0</v>
      </c>
      <c r="B1" s="216" t="s">
        <v>1</v>
      </c>
      <c r="C1" s="217"/>
      <c r="D1" s="217"/>
      <c r="E1" s="215"/>
      <c r="F1" s="228" t="s">
        <v>269</v>
      </c>
    </row>
    <row r="2" spans="1:16" s="33" customFormat="1" ht="45" customHeight="1" x14ac:dyDescent="0.25">
      <c r="A2" s="31"/>
      <c r="B2" s="404" t="s">
        <v>338</v>
      </c>
      <c r="C2" s="450"/>
      <c r="D2" s="450"/>
      <c r="E2" s="450"/>
      <c r="F2" s="450"/>
      <c r="G2" s="41"/>
      <c r="H2" s="41"/>
      <c r="I2" s="41"/>
      <c r="J2" s="93"/>
      <c r="K2" s="93"/>
      <c r="L2" s="32"/>
      <c r="M2" s="32"/>
      <c r="N2" s="32"/>
      <c r="O2" s="41"/>
      <c r="P2" s="41"/>
    </row>
    <row r="3" spans="1:16" s="174" customFormat="1" ht="15" customHeight="1" x14ac:dyDescent="0.25">
      <c r="B3" s="477" t="s">
        <v>260</v>
      </c>
      <c r="C3" s="478"/>
      <c r="D3" s="478"/>
      <c r="E3" s="478"/>
      <c r="F3" s="478"/>
      <c r="G3" s="175"/>
      <c r="H3" s="175"/>
      <c r="I3" s="175"/>
      <c r="J3" s="176"/>
      <c r="K3" s="176"/>
      <c r="L3" s="176"/>
      <c r="M3" s="176"/>
      <c r="N3" s="176"/>
      <c r="O3" s="175"/>
      <c r="P3" s="175"/>
    </row>
    <row r="4" spans="1:16" ht="22.5" customHeight="1" x14ac:dyDescent="0.25"/>
    <row r="5" spans="1:16" ht="22.5" customHeight="1" x14ac:dyDescent="0.25"/>
    <row r="6" spans="1:16" ht="22.5" customHeight="1" x14ac:dyDescent="0.25"/>
    <row r="7" spans="1:16" ht="22.5" customHeight="1" x14ac:dyDescent="0.25"/>
    <row r="8" spans="1:16" ht="22.5" customHeight="1" x14ac:dyDescent="0.25"/>
    <row r="9" spans="1:16" ht="22.5" customHeight="1" x14ac:dyDescent="0.25"/>
    <row r="10" spans="1:16" ht="22.5" customHeight="1" x14ac:dyDescent="0.25"/>
    <row r="11" spans="1:16" ht="22.5" customHeight="1" x14ac:dyDescent="0.25"/>
    <row r="12" spans="1:16" ht="22.5" customHeight="1" x14ac:dyDescent="0.25"/>
    <row r="13" spans="1:16" ht="22.5" customHeight="1" x14ac:dyDescent="0.25"/>
    <row r="14" spans="1:16" ht="22.5" customHeight="1" x14ac:dyDescent="0.25"/>
    <row r="15" spans="1:16" ht="22.5" customHeight="1" x14ac:dyDescent="0.25"/>
    <row r="16" spans="1:16" ht="22.5" customHeight="1" x14ac:dyDescent="0.25"/>
    <row r="17" spans="1:7" ht="22.5" customHeight="1" x14ac:dyDescent="0.25"/>
    <row r="18" spans="1:7" ht="22.5" customHeight="1" x14ac:dyDescent="0.25"/>
    <row r="19" spans="1:7" ht="22.5" customHeight="1" x14ac:dyDescent="0.25"/>
    <row r="20" spans="1:7" ht="22.5" customHeight="1" x14ac:dyDescent="0.25"/>
    <row r="21" spans="1:7" ht="22.5" customHeight="1" x14ac:dyDescent="0.25"/>
    <row r="22" spans="1:7" ht="22.5" customHeight="1" x14ac:dyDescent="0.25"/>
    <row r="23" spans="1:7" ht="15" customHeight="1" x14ac:dyDescent="0.25"/>
    <row r="24" spans="1:7" s="94" customFormat="1" ht="15" customHeight="1" x14ac:dyDescent="0.25">
      <c r="A24" s="71" t="s">
        <v>79</v>
      </c>
      <c r="B24" s="464" t="s">
        <v>274</v>
      </c>
      <c r="C24" s="469"/>
      <c r="D24" s="469"/>
      <c r="E24" s="469"/>
      <c r="F24" s="469"/>
    </row>
    <row r="25" spans="1:7" s="1" customFormat="1" ht="15" customHeight="1" x14ac:dyDescent="0.25">
      <c r="A25" s="123" t="s">
        <v>63</v>
      </c>
      <c r="B25" s="451" t="s">
        <v>343</v>
      </c>
      <c r="C25" s="410"/>
      <c r="D25" s="410"/>
      <c r="E25" s="410"/>
    </row>
    <row r="26" spans="1:7" s="1" customFormat="1" ht="15" customHeight="1" x14ac:dyDescent="0.25">
      <c r="A26" s="369" t="s">
        <v>282</v>
      </c>
      <c r="B26" s="421" t="s">
        <v>323</v>
      </c>
      <c r="C26" s="422"/>
      <c r="D26" s="15"/>
      <c r="E26" s="15"/>
      <c r="F26"/>
      <c r="G26"/>
    </row>
    <row r="27" spans="1:7" s="1" customFormat="1" ht="15" customHeight="1" x14ac:dyDescent="0.25">
      <c r="A27" s="370" t="s">
        <v>4</v>
      </c>
      <c r="B27" s="497" t="s">
        <v>330</v>
      </c>
      <c r="C27" s="408"/>
      <c r="D27" s="410"/>
      <c r="E27" s="15"/>
      <c r="F27"/>
      <c r="G27"/>
    </row>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98"/>
      <c r="B53" s="98"/>
      <c r="C53" s="98"/>
      <c r="D53" s="98"/>
      <c r="E53" s="98"/>
      <c r="F53" s="98"/>
      <c r="G53" s="98"/>
      <c r="H53" s="98"/>
      <c r="I53" s="98"/>
    </row>
    <row r="54" spans="1:14" ht="12" customHeight="1" x14ac:dyDescent="0.25">
      <c r="A54" s="98"/>
      <c r="B54" s="98"/>
      <c r="C54" s="98"/>
      <c r="D54" s="98"/>
      <c r="E54" s="98"/>
      <c r="F54" s="98"/>
      <c r="G54" s="98"/>
      <c r="H54" s="98"/>
      <c r="I54" s="98"/>
    </row>
    <row r="55" spans="1:14" ht="12" customHeight="1" x14ac:dyDescent="0.25">
      <c r="A55" s="39"/>
      <c r="B55" s="64"/>
      <c r="C55" s="96"/>
      <c r="D55" s="96"/>
      <c r="E55" s="96"/>
      <c r="F55" s="96"/>
      <c r="G55" s="96"/>
      <c r="H55" s="96"/>
      <c r="I55" s="96"/>
      <c r="L55" s="9"/>
      <c r="M55" s="9"/>
      <c r="N55" s="9"/>
    </row>
    <row r="56" spans="1:14" ht="12" customHeight="1" x14ac:dyDescent="0.25">
      <c r="A56" s="39"/>
      <c r="B56" s="65"/>
      <c r="C56" s="96"/>
      <c r="D56" s="96"/>
      <c r="E56" s="96"/>
      <c r="F56" s="96"/>
      <c r="G56" s="96"/>
      <c r="H56" s="96"/>
      <c r="I56" s="96"/>
    </row>
    <row r="57" spans="1:14" ht="12" customHeight="1" x14ac:dyDescent="0.25">
      <c r="A57" s="39"/>
      <c r="B57" s="66"/>
      <c r="C57" s="97"/>
      <c r="D57" s="97"/>
      <c r="E57" s="97"/>
      <c r="F57" s="97"/>
      <c r="G57" s="97"/>
      <c r="H57" s="97"/>
      <c r="I57" s="97"/>
    </row>
    <row r="58" spans="1:14" ht="12" customHeight="1" x14ac:dyDescent="0.25">
      <c r="A58" s="39"/>
      <c r="B58" s="67"/>
      <c r="C58" s="39"/>
      <c r="D58" s="96"/>
      <c r="E58" s="96"/>
      <c r="F58" s="96"/>
      <c r="G58" s="96"/>
      <c r="H58" s="96"/>
      <c r="I58" s="96"/>
    </row>
    <row r="59" spans="1:14" s="98" customFormat="1" ht="12" customHeight="1" x14ac:dyDescent="0.25">
      <c r="B59" s="65"/>
      <c r="C59" s="91"/>
      <c r="D59" s="90"/>
      <c r="E59" s="90"/>
      <c r="F59" s="90"/>
    </row>
    <row r="60" spans="1:14" s="98" customFormat="1" ht="12" customHeight="1" x14ac:dyDescent="0.25">
      <c r="B60" s="66"/>
      <c r="C60" s="89"/>
      <c r="D60" s="90"/>
      <c r="E60" s="90"/>
      <c r="F60" s="90"/>
    </row>
    <row r="61" spans="1:14" s="98" customFormat="1" ht="12" customHeight="1" x14ac:dyDescent="0.25">
      <c r="B61" s="67"/>
      <c r="C61" s="91"/>
      <c r="D61" s="90"/>
      <c r="E61" s="90"/>
      <c r="F61" s="90"/>
    </row>
    <row r="62" spans="1:14" s="98"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topLeftCell="A16" zoomScaleNormal="100" workbookViewId="0">
      <selection activeCell="E27" sqref="E27"/>
    </sheetView>
  </sheetViews>
  <sheetFormatPr defaultColWidth="8.7109375" defaultRowHeight="12" customHeight="1" x14ac:dyDescent="0.25"/>
  <cols>
    <col min="1" max="1" width="12.7109375" style="191" customWidth="1"/>
    <col min="2" max="6" width="16.7109375" style="191" customWidth="1"/>
    <col min="7" max="16384" width="8.7109375" style="191"/>
  </cols>
  <sheetData>
    <row r="1" spans="1:16" s="1" customFormat="1" ht="30" customHeight="1" x14ac:dyDescent="0.25">
      <c r="A1" s="192" t="s">
        <v>0</v>
      </c>
      <c r="B1" s="281" t="s">
        <v>1</v>
      </c>
      <c r="C1" s="374"/>
      <c r="D1" s="374"/>
      <c r="E1" s="209"/>
      <c r="F1" s="283" t="s">
        <v>269</v>
      </c>
    </row>
    <row r="2" spans="1:16" s="33" customFormat="1" ht="45" customHeight="1" x14ac:dyDescent="0.25">
      <c r="A2" s="318"/>
      <c r="B2" s="470" t="s">
        <v>339</v>
      </c>
      <c r="C2" s="471"/>
      <c r="D2" s="471"/>
      <c r="E2" s="471"/>
      <c r="F2" s="471"/>
      <c r="G2" s="189"/>
      <c r="H2" s="189"/>
      <c r="I2" s="189"/>
      <c r="J2" s="190"/>
      <c r="K2" s="190"/>
      <c r="L2" s="32"/>
      <c r="M2" s="32"/>
      <c r="N2" s="32"/>
      <c r="O2" s="189"/>
      <c r="P2" s="189"/>
    </row>
    <row r="3" spans="1:16" s="174" customFormat="1" ht="15" customHeight="1" x14ac:dyDescent="0.25">
      <c r="B3" s="477" t="s">
        <v>260</v>
      </c>
      <c r="C3" s="478"/>
      <c r="D3" s="478"/>
      <c r="E3" s="478"/>
      <c r="F3" s="478"/>
      <c r="G3" s="175"/>
      <c r="H3" s="175"/>
      <c r="I3" s="175"/>
      <c r="J3" s="176"/>
      <c r="K3" s="176"/>
      <c r="L3" s="176"/>
      <c r="M3" s="176"/>
      <c r="N3" s="176"/>
      <c r="O3" s="175"/>
      <c r="P3" s="175"/>
    </row>
    <row r="4" spans="1:16" ht="22.5" customHeight="1" x14ac:dyDescent="0.25">
      <c r="A4" s="209"/>
      <c r="B4" s="209"/>
      <c r="C4" s="209"/>
      <c r="D4" s="209"/>
      <c r="E4" s="209"/>
      <c r="F4" s="209"/>
    </row>
    <row r="5" spans="1:16" ht="22.5" customHeight="1" x14ac:dyDescent="0.25">
      <c r="A5" s="209"/>
      <c r="B5" s="209"/>
      <c r="C5" s="209"/>
      <c r="D5" s="209"/>
      <c r="E5" s="209"/>
      <c r="F5" s="209"/>
    </row>
    <row r="6" spans="1:16" ht="22.5" customHeight="1" x14ac:dyDescent="0.25">
      <c r="A6" s="209"/>
      <c r="B6" s="209"/>
      <c r="C6" s="209"/>
      <c r="D6" s="209"/>
      <c r="E6" s="209"/>
      <c r="F6" s="209"/>
    </row>
    <row r="7" spans="1:16" ht="22.5" customHeight="1" x14ac:dyDescent="0.25">
      <c r="A7" s="209"/>
      <c r="B7" s="209"/>
      <c r="C7" s="209"/>
      <c r="D7" s="209"/>
      <c r="E7" s="209"/>
      <c r="F7" s="209"/>
    </row>
    <row r="8" spans="1:16" ht="22.5" customHeight="1" x14ac:dyDescent="0.25">
      <c r="A8" s="209"/>
      <c r="B8" s="209"/>
      <c r="C8" s="209"/>
      <c r="D8" s="209"/>
      <c r="E8" s="209"/>
      <c r="F8" s="209"/>
    </row>
    <row r="9" spans="1:16" ht="22.5" customHeight="1" x14ac:dyDescent="0.25">
      <c r="A9" s="209"/>
      <c r="B9" s="209"/>
      <c r="C9" s="209"/>
      <c r="D9" s="209"/>
      <c r="E9" s="209"/>
      <c r="F9" s="209"/>
    </row>
    <row r="10" spans="1:16" ht="22.5" customHeight="1" x14ac:dyDescent="0.25">
      <c r="A10" s="209"/>
      <c r="B10" s="209"/>
      <c r="C10" s="209"/>
      <c r="D10" s="209"/>
      <c r="E10" s="209"/>
      <c r="F10" s="209"/>
    </row>
    <row r="11" spans="1:16" ht="22.5" customHeight="1" x14ac:dyDescent="0.25">
      <c r="A11" s="209"/>
      <c r="B11" s="209"/>
      <c r="C11" s="209"/>
      <c r="D11" s="209"/>
      <c r="E11" s="209"/>
      <c r="F11" s="209"/>
    </row>
    <row r="12" spans="1:16" ht="22.5" customHeight="1" x14ac:dyDescent="0.25">
      <c r="A12" s="209"/>
      <c r="B12" s="209"/>
      <c r="C12" s="209"/>
      <c r="D12" s="209"/>
      <c r="E12" s="209"/>
      <c r="F12" s="209"/>
    </row>
    <row r="13" spans="1:16" ht="22.5" customHeight="1" x14ac:dyDescent="0.25">
      <c r="A13" s="209"/>
      <c r="B13" s="209"/>
      <c r="C13" s="209"/>
      <c r="D13" s="209"/>
      <c r="E13" s="209"/>
      <c r="F13" s="209"/>
    </row>
    <row r="14" spans="1:16" ht="22.5" customHeight="1" x14ac:dyDescent="0.25">
      <c r="A14" s="209"/>
      <c r="B14" s="209"/>
      <c r="C14" s="209"/>
      <c r="D14" s="209"/>
      <c r="E14" s="209"/>
      <c r="F14" s="209"/>
    </row>
    <row r="15" spans="1:16" ht="22.5" customHeight="1" x14ac:dyDescent="0.25">
      <c r="A15" s="209"/>
      <c r="B15" s="209"/>
      <c r="C15" s="209"/>
      <c r="D15" s="209"/>
      <c r="E15" s="209"/>
      <c r="F15" s="209"/>
    </row>
    <row r="16" spans="1:16" ht="22.5" customHeight="1" x14ac:dyDescent="0.25">
      <c r="A16" s="209"/>
      <c r="B16" s="209"/>
      <c r="C16" s="209"/>
      <c r="D16" s="209"/>
      <c r="E16" s="209"/>
      <c r="F16" s="209"/>
    </row>
    <row r="17" spans="1:7" ht="22.5" customHeight="1" x14ac:dyDescent="0.25">
      <c r="A17" s="209"/>
      <c r="B17" s="209"/>
      <c r="C17" s="209"/>
      <c r="D17" s="209"/>
      <c r="E17" s="209"/>
      <c r="F17" s="209"/>
    </row>
    <row r="18" spans="1:7" ht="22.5" customHeight="1" x14ac:dyDescent="0.25">
      <c r="A18" s="209"/>
      <c r="B18" s="209"/>
      <c r="C18" s="209"/>
      <c r="D18" s="209"/>
      <c r="E18" s="209"/>
      <c r="F18" s="209"/>
    </row>
    <row r="19" spans="1:7" ht="22.5" customHeight="1" x14ac:dyDescent="0.25">
      <c r="A19" s="209"/>
      <c r="B19" s="209"/>
      <c r="C19" s="209"/>
      <c r="D19" s="209"/>
      <c r="E19" s="209"/>
      <c r="F19" s="209"/>
    </row>
    <row r="20" spans="1:7" ht="22.5" customHeight="1" x14ac:dyDescent="0.25">
      <c r="A20" s="209"/>
      <c r="B20" s="209"/>
      <c r="C20" s="209"/>
      <c r="D20" s="209"/>
      <c r="E20" s="209"/>
      <c r="F20" s="209"/>
    </row>
    <row r="21" spans="1:7" ht="22.5" customHeight="1" x14ac:dyDescent="0.25">
      <c r="A21" s="209"/>
      <c r="B21" s="209"/>
      <c r="C21" s="209"/>
      <c r="D21" s="209"/>
      <c r="E21" s="209"/>
      <c r="F21" s="209"/>
    </row>
    <row r="22" spans="1:7" ht="22.5" customHeight="1" x14ac:dyDescent="0.25">
      <c r="A22" s="209"/>
      <c r="B22" s="209"/>
      <c r="C22" s="209"/>
      <c r="D22" s="209"/>
      <c r="E22" s="209"/>
      <c r="F22" s="209"/>
    </row>
    <row r="23" spans="1:7" ht="15" customHeight="1" x14ac:dyDescent="0.25">
      <c r="A23" s="209"/>
      <c r="B23" s="209"/>
      <c r="C23" s="209"/>
      <c r="D23" s="209"/>
      <c r="E23" s="209"/>
      <c r="F23" s="209"/>
    </row>
    <row r="24" spans="1:7" s="94" customFormat="1" ht="15" customHeight="1" x14ac:dyDescent="0.25">
      <c r="A24" s="319" t="s">
        <v>79</v>
      </c>
      <c r="B24" s="482" t="s">
        <v>274</v>
      </c>
      <c r="C24" s="469"/>
      <c r="D24" s="469"/>
      <c r="E24" s="469"/>
      <c r="F24" s="469"/>
    </row>
    <row r="25" spans="1:7" s="1" customFormat="1" ht="15" customHeight="1" x14ac:dyDescent="0.25">
      <c r="A25" s="123" t="s">
        <v>63</v>
      </c>
      <c r="B25" s="451" t="s">
        <v>343</v>
      </c>
      <c r="C25" s="410"/>
      <c r="D25" s="410"/>
      <c r="E25" s="410"/>
    </row>
    <row r="26" spans="1:7" s="1" customFormat="1" ht="15" customHeight="1" x14ac:dyDescent="0.25">
      <c r="A26" s="369" t="s">
        <v>282</v>
      </c>
      <c r="B26" s="421" t="s">
        <v>323</v>
      </c>
      <c r="C26" s="422"/>
      <c r="D26" s="15"/>
      <c r="E26" s="15"/>
      <c r="F26"/>
      <c r="G26"/>
    </row>
    <row r="27" spans="1:7" s="1" customFormat="1" ht="15" customHeight="1" x14ac:dyDescent="0.25">
      <c r="A27" s="370" t="s">
        <v>4</v>
      </c>
      <c r="B27" s="497" t="s">
        <v>344</v>
      </c>
      <c r="C27" s="408"/>
      <c r="D27" s="410"/>
      <c r="E27" s="15"/>
      <c r="F27"/>
      <c r="G27"/>
    </row>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98"/>
      <c r="B53" s="98"/>
      <c r="C53" s="98"/>
      <c r="D53" s="98"/>
      <c r="E53" s="98"/>
      <c r="F53" s="98"/>
      <c r="G53" s="98"/>
      <c r="H53" s="98"/>
      <c r="I53" s="98"/>
    </row>
    <row r="54" spans="1:14" ht="12" customHeight="1" x14ac:dyDescent="0.25">
      <c r="A54" s="98"/>
      <c r="B54" s="98"/>
      <c r="C54" s="98"/>
      <c r="D54" s="98"/>
      <c r="E54" s="98"/>
      <c r="F54" s="98"/>
      <c r="G54" s="98"/>
      <c r="H54" s="98"/>
      <c r="I54" s="98"/>
    </row>
    <row r="55" spans="1:14" ht="12" customHeight="1" x14ac:dyDescent="0.25">
      <c r="A55" s="39"/>
      <c r="B55" s="64"/>
      <c r="C55" s="96"/>
      <c r="D55" s="96"/>
      <c r="E55" s="96"/>
      <c r="F55" s="96"/>
      <c r="G55" s="96"/>
      <c r="H55" s="96"/>
      <c r="I55" s="96"/>
      <c r="L55" s="9"/>
      <c r="M55" s="9"/>
      <c r="N55" s="9"/>
    </row>
    <row r="56" spans="1:14" ht="12" customHeight="1" x14ac:dyDescent="0.25">
      <c r="A56" s="39"/>
      <c r="B56" s="65"/>
      <c r="C56" s="96"/>
      <c r="D56" s="96"/>
      <c r="E56" s="96"/>
      <c r="F56" s="96"/>
      <c r="G56" s="96"/>
      <c r="H56" s="96"/>
      <c r="I56" s="96"/>
    </row>
    <row r="57" spans="1:14" ht="12" customHeight="1" x14ac:dyDescent="0.25">
      <c r="A57" s="39"/>
      <c r="B57" s="66"/>
      <c r="C57" s="97"/>
      <c r="D57" s="97"/>
      <c r="E57" s="97"/>
      <c r="F57" s="97"/>
      <c r="G57" s="97"/>
      <c r="H57" s="97"/>
      <c r="I57" s="97"/>
    </row>
    <row r="58" spans="1:14" ht="12" customHeight="1" x14ac:dyDescent="0.25">
      <c r="A58" s="39"/>
      <c r="B58" s="67"/>
      <c r="C58" s="39"/>
      <c r="D58" s="96"/>
      <c r="E58" s="96"/>
      <c r="F58" s="96"/>
      <c r="G58" s="96"/>
      <c r="H58" s="96"/>
      <c r="I58" s="96"/>
    </row>
    <row r="59" spans="1:14" s="98" customFormat="1" ht="12" customHeight="1" x14ac:dyDescent="0.25">
      <c r="B59" s="65"/>
      <c r="C59" s="188"/>
      <c r="D59" s="187"/>
      <c r="E59" s="187"/>
      <c r="F59" s="187"/>
    </row>
    <row r="60" spans="1:14" s="98" customFormat="1" ht="12" customHeight="1" x14ac:dyDescent="0.25">
      <c r="B60" s="66"/>
      <c r="C60" s="186"/>
      <c r="D60" s="187"/>
      <c r="E60" s="187"/>
      <c r="F60" s="187"/>
    </row>
    <row r="61" spans="1:14" s="98" customFormat="1" ht="12" customHeight="1" x14ac:dyDescent="0.25">
      <c r="B61" s="67"/>
      <c r="C61" s="188"/>
      <c r="D61" s="187"/>
      <c r="E61" s="187"/>
      <c r="F61" s="187"/>
    </row>
    <row r="62" spans="1:14" s="98"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topLeftCell="A49" zoomScaleNormal="100" workbookViewId="0">
      <selection activeCell="D70" sqref="D70"/>
    </sheetView>
  </sheetViews>
  <sheetFormatPr defaultColWidth="8.7109375" defaultRowHeight="12" customHeight="1" x14ac:dyDescent="0.25"/>
  <cols>
    <col min="1" max="1" width="12.7109375" style="1" customWidth="1"/>
    <col min="2" max="2" width="24.7109375" style="1" customWidth="1"/>
    <col min="3" max="5" width="16.7109375" style="15" customWidth="1"/>
    <col min="6" max="16384" width="8.7109375" style="1"/>
  </cols>
  <sheetData>
    <row r="1" spans="1:10" ht="30" customHeight="1" x14ac:dyDescent="0.25">
      <c r="A1" s="100" t="s">
        <v>0</v>
      </c>
      <c r="B1" s="216" t="s">
        <v>1</v>
      </c>
      <c r="C1" s="376"/>
      <c r="D1" s="376"/>
      <c r="E1" s="228" t="s">
        <v>269</v>
      </c>
    </row>
    <row r="2" spans="1:10" ht="45" customHeight="1" x14ac:dyDescent="0.25">
      <c r="B2" s="404" t="s">
        <v>281</v>
      </c>
      <c r="C2" s="405"/>
      <c r="D2" s="405"/>
      <c r="E2" s="405"/>
    </row>
    <row r="3" spans="1:10" ht="15" customHeight="1" thickBot="1" x14ac:dyDescent="0.3">
      <c r="B3" s="406" t="s">
        <v>61</v>
      </c>
      <c r="C3" s="407"/>
      <c r="D3" s="407"/>
      <c r="E3" s="407"/>
    </row>
    <row r="4" spans="1:10" ht="45" customHeight="1" x14ac:dyDescent="0.25">
      <c r="B4" s="20" t="s">
        <v>62</v>
      </c>
      <c r="C4" s="17" t="s">
        <v>266</v>
      </c>
      <c r="D4" s="17" t="s">
        <v>267</v>
      </c>
      <c r="E4" s="18" t="s">
        <v>9</v>
      </c>
    </row>
    <row r="5" spans="1:10" ht="30" customHeight="1" x14ac:dyDescent="0.25">
      <c r="B5" s="25" t="s">
        <v>10</v>
      </c>
      <c r="C5" s="26">
        <v>3015777</v>
      </c>
      <c r="D5" s="26">
        <v>556044</v>
      </c>
      <c r="E5" s="26">
        <f>C5-D5</f>
        <v>2459733</v>
      </c>
    </row>
    <row r="6" spans="1:10" ht="15" customHeight="1" x14ac:dyDescent="0.25">
      <c r="B6" s="4" t="s">
        <v>11</v>
      </c>
      <c r="C6" s="21">
        <v>6558</v>
      </c>
      <c r="D6" s="21">
        <v>480</v>
      </c>
      <c r="E6" s="21">
        <f t="shared" ref="E6:E66" si="0">C6-D6</f>
        <v>6078</v>
      </c>
    </row>
    <row r="7" spans="1:10" ht="15" customHeight="1" x14ac:dyDescent="0.25">
      <c r="B7" s="5" t="s">
        <v>12</v>
      </c>
      <c r="C7" s="22">
        <v>197247</v>
      </c>
      <c r="D7" s="22">
        <v>4163</v>
      </c>
      <c r="E7" s="22">
        <f t="shared" si="0"/>
        <v>193084</v>
      </c>
    </row>
    <row r="8" spans="1:10" ht="15" customHeight="1" x14ac:dyDescent="0.25">
      <c r="B8" s="4" t="s">
        <v>13</v>
      </c>
      <c r="C8" s="21">
        <v>304328</v>
      </c>
      <c r="D8" s="21">
        <v>18847</v>
      </c>
      <c r="E8" s="21">
        <f t="shared" si="0"/>
        <v>285481</v>
      </c>
    </row>
    <row r="9" spans="1:10" ht="15" customHeight="1" x14ac:dyDescent="0.25">
      <c r="B9" s="5" t="s">
        <v>14</v>
      </c>
      <c r="C9" s="22">
        <v>826</v>
      </c>
      <c r="D9" s="22">
        <v>11</v>
      </c>
      <c r="E9" s="22">
        <f t="shared" si="0"/>
        <v>815</v>
      </c>
    </row>
    <row r="10" spans="1:10" ht="15" customHeight="1" x14ac:dyDescent="0.25">
      <c r="B10" s="4" t="s">
        <v>15</v>
      </c>
      <c r="C10" s="21">
        <v>42</v>
      </c>
      <c r="D10" s="21">
        <v>220</v>
      </c>
      <c r="E10" s="21">
        <f t="shared" si="0"/>
        <v>-178</v>
      </c>
    </row>
    <row r="11" spans="1:10" ht="15" customHeight="1" x14ac:dyDescent="0.25">
      <c r="B11" s="7" t="s">
        <v>16</v>
      </c>
      <c r="C11" s="23">
        <v>449</v>
      </c>
      <c r="D11" s="23">
        <v>158</v>
      </c>
      <c r="E11" s="23">
        <f t="shared" si="0"/>
        <v>291</v>
      </c>
      <c r="J11" s="229"/>
    </row>
    <row r="12" spans="1:10" ht="15" customHeight="1" x14ac:dyDescent="0.25">
      <c r="B12" s="4" t="s">
        <v>17</v>
      </c>
      <c r="C12" s="21">
        <v>3221</v>
      </c>
      <c r="D12" s="21">
        <v>484</v>
      </c>
      <c r="E12" s="21">
        <f t="shared" si="0"/>
        <v>2737</v>
      </c>
    </row>
    <row r="13" spans="1:10" ht="15" customHeight="1" x14ac:dyDescent="0.25">
      <c r="B13" s="5" t="s">
        <v>18</v>
      </c>
      <c r="C13" s="22">
        <v>9167</v>
      </c>
      <c r="D13" s="22">
        <v>220</v>
      </c>
      <c r="E13" s="22">
        <f t="shared" si="0"/>
        <v>8947</v>
      </c>
    </row>
    <row r="14" spans="1:10" ht="15" customHeight="1" x14ac:dyDescent="0.25">
      <c r="B14" s="4" t="s">
        <v>19</v>
      </c>
      <c r="C14" s="21">
        <v>67205</v>
      </c>
      <c r="D14" s="21">
        <v>1566</v>
      </c>
      <c r="E14" s="21">
        <f t="shared" si="0"/>
        <v>65639</v>
      </c>
    </row>
    <row r="15" spans="1:10" ht="15" customHeight="1" x14ac:dyDescent="0.25">
      <c r="B15" s="5" t="s">
        <v>20</v>
      </c>
      <c r="C15" s="22">
        <v>16524</v>
      </c>
      <c r="D15" s="22">
        <v>253250</v>
      </c>
      <c r="E15" s="22">
        <f t="shared" si="0"/>
        <v>-236726</v>
      </c>
    </row>
    <row r="16" spans="1:10" ht="15" customHeight="1" x14ac:dyDescent="0.25">
      <c r="B16" s="4" t="s">
        <v>21</v>
      </c>
      <c r="C16" s="21">
        <v>527</v>
      </c>
      <c r="D16" s="21">
        <v>5678</v>
      </c>
      <c r="E16" s="21">
        <f t="shared" si="0"/>
        <v>-5151</v>
      </c>
    </row>
    <row r="17" spans="2:5" ht="15" customHeight="1" x14ac:dyDescent="0.25">
      <c r="B17" s="5" t="s">
        <v>22</v>
      </c>
      <c r="C17" s="22">
        <v>3438</v>
      </c>
      <c r="D17" s="22">
        <v>13130</v>
      </c>
      <c r="E17" s="22">
        <f t="shared" si="0"/>
        <v>-9692</v>
      </c>
    </row>
    <row r="18" spans="2:5" ht="15" customHeight="1" x14ac:dyDescent="0.25">
      <c r="B18" s="4" t="s">
        <v>23</v>
      </c>
      <c r="C18" s="21">
        <v>42792</v>
      </c>
      <c r="D18" s="21">
        <v>3453</v>
      </c>
      <c r="E18" s="21">
        <f t="shared" si="0"/>
        <v>39339</v>
      </c>
    </row>
    <row r="19" spans="2:5" ht="15" customHeight="1" x14ac:dyDescent="0.25">
      <c r="B19" s="5" t="s">
        <v>24</v>
      </c>
      <c r="C19" s="22">
        <v>1669</v>
      </c>
      <c r="D19" s="22">
        <v>78204</v>
      </c>
      <c r="E19" s="22">
        <f t="shared" si="0"/>
        <v>-76535</v>
      </c>
    </row>
    <row r="20" spans="2:5" ht="15" customHeight="1" x14ac:dyDescent="0.25">
      <c r="B20" s="4" t="s">
        <v>25</v>
      </c>
      <c r="C20" s="21">
        <v>982</v>
      </c>
      <c r="D20" s="21">
        <v>42</v>
      </c>
      <c r="E20" s="21">
        <f t="shared" si="0"/>
        <v>940</v>
      </c>
    </row>
    <row r="21" spans="2:5" ht="15" customHeight="1" x14ac:dyDescent="0.25">
      <c r="B21" s="5" t="s">
        <v>26</v>
      </c>
      <c r="C21" s="22">
        <v>50</v>
      </c>
      <c r="D21" s="22">
        <v>423</v>
      </c>
      <c r="E21" s="22">
        <f t="shared" si="0"/>
        <v>-373</v>
      </c>
    </row>
    <row r="22" spans="2:5" ht="15" customHeight="1" x14ac:dyDescent="0.25">
      <c r="B22" s="4" t="s">
        <v>283</v>
      </c>
      <c r="C22" s="21">
        <v>99</v>
      </c>
      <c r="D22" s="21">
        <v>38</v>
      </c>
      <c r="E22" s="21">
        <f t="shared" si="0"/>
        <v>61</v>
      </c>
    </row>
    <row r="23" spans="2:5" ht="15" customHeight="1" x14ac:dyDescent="0.25">
      <c r="B23" s="19" t="s">
        <v>27</v>
      </c>
      <c r="C23" s="24">
        <v>6024</v>
      </c>
      <c r="D23" s="24">
        <v>162</v>
      </c>
      <c r="E23" s="24">
        <f t="shared" si="0"/>
        <v>5862</v>
      </c>
    </row>
    <row r="24" spans="2:5" ht="15" customHeight="1" x14ac:dyDescent="0.25">
      <c r="B24" s="4" t="s">
        <v>284</v>
      </c>
      <c r="C24" s="21">
        <v>180</v>
      </c>
      <c r="D24" s="21">
        <v>662</v>
      </c>
      <c r="E24" s="21">
        <f t="shared" si="0"/>
        <v>-482</v>
      </c>
    </row>
    <row r="25" spans="2:5" ht="15" customHeight="1" x14ac:dyDescent="0.25">
      <c r="B25" s="19" t="s">
        <v>28</v>
      </c>
      <c r="C25" s="24">
        <v>573</v>
      </c>
      <c r="D25" s="24">
        <v>1137</v>
      </c>
      <c r="E25" s="24">
        <f t="shared" si="0"/>
        <v>-564</v>
      </c>
    </row>
    <row r="26" spans="2:5" ht="15" customHeight="1" x14ac:dyDescent="0.25">
      <c r="B26" s="4" t="s">
        <v>29</v>
      </c>
      <c r="C26" s="21">
        <v>398</v>
      </c>
      <c r="D26" s="21">
        <v>868</v>
      </c>
      <c r="E26" s="21">
        <f t="shared" si="0"/>
        <v>-470</v>
      </c>
    </row>
    <row r="27" spans="2:5" ht="15" customHeight="1" x14ac:dyDescent="0.25">
      <c r="B27" s="19" t="s">
        <v>30</v>
      </c>
      <c r="C27" s="24">
        <v>156697</v>
      </c>
      <c r="D27" s="24">
        <v>15237</v>
      </c>
      <c r="E27" s="24">
        <f t="shared" si="0"/>
        <v>141460</v>
      </c>
    </row>
    <row r="28" spans="2:5" ht="15" customHeight="1" x14ac:dyDescent="0.25">
      <c r="B28" s="4" t="s">
        <v>31</v>
      </c>
      <c r="C28" s="21">
        <v>140320</v>
      </c>
      <c r="D28" s="21">
        <v>7139</v>
      </c>
      <c r="E28" s="21">
        <f t="shared" si="0"/>
        <v>133181</v>
      </c>
    </row>
    <row r="29" spans="2:5" ht="15" customHeight="1" x14ac:dyDescent="0.25">
      <c r="B29" s="19" t="s">
        <v>32</v>
      </c>
      <c r="C29" s="24">
        <v>673</v>
      </c>
      <c r="D29" s="24">
        <v>1297</v>
      </c>
      <c r="E29" s="24">
        <f t="shared" si="0"/>
        <v>-624</v>
      </c>
    </row>
    <row r="30" spans="2:5" ht="15" customHeight="1" x14ac:dyDescent="0.25">
      <c r="B30" s="4" t="s">
        <v>33</v>
      </c>
      <c r="C30" s="21">
        <v>3800</v>
      </c>
      <c r="D30" s="21">
        <v>78</v>
      </c>
      <c r="E30" s="21">
        <f t="shared" si="0"/>
        <v>3722</v>
      </c>
    </row>
    <row r="31" spans="2:5" ht="15" customHeight="1" x14ac:dyDescent="0.25">
      <c r="B31" s="19" t="s">
        <v>34</v>
      </c>
      <c r="C31" s="24">
        <v>894932</v>
      </c>
      <c r="D31" s="24">
        <v>20145</v>
      </c>
      <c r="E31" s="24">
        <f t="shared" si="0"/>
        <v>874787</v>
      </c>
    </row>
    <row r="32" spans="2:5" ht="15" customHeight="1" x14ac:dyDescent="0.25">
      <c r="B32" s="4" t="s">
        <v>35</v>
      </c>
      <c r="C32" s="21">
        <v>1118</v>
      </c>
      <c r="D32" s="21">
        <v>281</v>
      </c>
      <c r="E32" s="21">
        <f t="shared" si="0"/>
        <v>837</v>
      </c>
    </row>
    <row r="33" spans="2:5" ht="15" customHeight="1" x14ac:dyDescent="0.25">
      <c r="B33" s="19" t="s">
        <v>36</v>
      </c>
      <c r="C33" s="24">
        <v>526</v>
      </c>
      <c r="D33" s="24">
        <v>2610</v>
      </c>
      <c r="E33" s="24">
        <f t="shared" si="0"/>
        <v>-2084</v>
      </c>
    </row>
    <row r="34" spans="2:5" ht="15" customHeight="1" x14ac:dyDescent="0.25">
      <c r="B34" s="4" t="s">
        <v>37</v>
      </c>
      <c r="C34" s="21">
        <v>61053</v>
      </c>
      <c r="D34" s="21">
        <v>1733</v>
      </c>
      <c r="E34" s="21">
        <f t="shared" si="0"/>
        <v>59320</v>
      </c>
    </row>
    <row r="35" spans="2:5" ht="15" customHeight="1" x14ac:dyDescent="0.25">
      <c r="B35" s="19" t="s">
        <v>38</v>
      </c>
      <c r="C35" s="24">
        <v>684</v>
      </c>
      <c r="D35" s="24">
        <v>1352</v>
      </c>
      <c r="E35" s="24">
        <f t="shared" si="0"/>
        <v>-668</v>
      </c>
    </row>
    <row r="36" spans="2:5" ht="15" customHeight="1" x14ac:dyDescent="0.25">
      <c r="B36" s="4" t="s">
        <v>39</v>
      </c>
      <c r="C36" s="21">
        <v>571</v>
      </c>
      <c r="D36" s="21">
        <v>2447</v>
      </c>
      <c r="E36" s="21">
        <f t="shared" si="0"/>
        <v>-1876</v>
      </c>
    </row>
    <row r="37" spans="2:5" ht="15" customHeight="1" x14ac:dyDescent="0.25">
      <c r="B37" s="19" t="s">
        <v>40</v>
      </c>
      <c r="C37" s="24">
        <v>8753</v>
      </c>
      <c r="D37" s="24">
        <v>267</v>
      </c>
      <c r="E37" s="24">
        <f t="shared" si="0"/>
        <v>8486</v>
      </c>
    </row>
    <row r="38" spans="2:5" ht="15" customHeight="1" x14ac:dyDescent="0.25">
      <c r="B38" s="4" t="s">
        <v>41</v>
      </c>
      <c r="C38" s="21">
        <v>252</v>
      </c>
      <c r="D38" s="21">
        <v>23</v>
      </c>
      <c r="E38" s="21">
        <f t="shared" si="0"/>
        <v>229</v>
      </c>
    </row>
    <row r="39" spans="2:5" ht="15" customHeight="1" x14ac:dyDescent="0.25">
      <c r="B39" s="19" t="s">
        <v>42</v>
      </c>
      <c r="C39" s="24">
        <v>22136</v>
      </c>
      <c r="D39" s="24">
        <v>2415</v>
      </c>
      <c r="E39" s="24">
        <f t="shared" si="0"/>
        <v>19721</v>
      </c>
    </row>
    <row r="40" spans="2:5" ht="15" customHeight="1" x14ac:dyDescent="0.25">
      <c r="B40" s="4" t="s">
        <v>43</v>
      </c>
      <c r="C40" s="21">
        <v>1159</v>
      </c>
      <c r="D40" s="21">
        <v>27</v>
      </c>
      <c r="E40" s="21">
        <f t="shared" si="0"/>
        <v>1132</v>
      </c>
    </row>
    <row r="41" spans="2:5" ht="15" customHeight="1" x14ac:dyDescent="0.25">
      <c r="B41" s="19" t="s">
        <v>44</v>
      </c>
      <c r="C41" s="24">
        <v>667</v>
      </c>
      <c r="D41" s="24">
        <v>3688</v>
      </c>
      <c r="E41" s="24">
        <f t="shared" si="0"/>
        <v>-3021</v>
      </c>
    </row>
    <row r="42" spans="2:5" ht="15" customHeight="1" x14ac:dyDescent="0.25">
      <c r="B42" s="4" t="s">
        <v>45</v>
      </c>
      <c r="C42" s="21">
        <v>229</v>
      </c>
      <c r="D42" s="21">
        <v>866</v>
      </c>
      <c r="E42" s="21">
        <f t="shared" si="0"/>
        <v>-637</v>
      </c>
    </row>
    <row r="43" spans="2:5" ht="15" customHeight="1" x14ac:dyDescent="0.25">
      <c r="B43" s="19" t="s">
        <v>46</v>
      </c>
      <c r="C43" s="24">
        <v>86937</v>
      </c>
      <c r="D43" s="24">
        <v>1449</v>
      </c>
      <c r="E43" s="24">
        <f t="shared" si="0"/>
        <v>85488</v>
      </c>
    </row>
    <row r="44" spans="2:5" ht="15" customHeight="1" x14ac:dyDescent="0.25">
      <c r="B44" s="4" t="s">
        <v>47</v>
      </c>
      <c r="C44" s="21">
        <v>944</v>
      </c>
      <c r="D44" s="21">
        <v>40</v>
      </c>
      <c r="E44" s="21">
        <f t="shared" si="0"/>
        <v>904</v>
      </c>
    </row>
    <row r="45" spans="2:5" ht="15" customHeight="1" x14ac:dyDescent="0.25">
      <c r="B45" s="19" t="s">
        <v>48</v>
      </c>
      <c r="C45" s="24">
        <v>1132</v>
      </c>
      <c r="D45" s="24">
        <v>5037</v>
      </c>
      <c r="E45" s="24">
        <f t="shared" si="0"/>
        <v>-3905</v>
      </c>
    </row>
    <row r="46" spans="2:5" ht="15" customHeight="1" x14ac:dyDescent="0.25">
      <c r="B46" s="4" t="s">
        <v>49</v>
      </c>
      <c r="C46" s="21">
        <v>618</v>
      </c>
      <c r="D46" s="21">
        <v>237</v>
      </c>
      <c r="E46" s="21">
        <f t="shared" si="0"/>
        <v>381</v>
      </c>
    </row>
    <row r="47" spans="2:5" ht="15" customHeight="1" x14ac:dyDescent="0.25">
      <c r="B47" s="19" t="s">
        <v>50</v>
      </c>
      <c r="C47" s="24">
        <v>7560</v>
      </c>
      <c r="D47" s="24">
        <v>10015</v>
      </c>
      <c r="E47" s="24">
        <f t="shared" si="0"/>
        <v>-2455</v>
      </c>
    </row>
    <row r="48" spans="2:5" ht="15" customHeight="1" x14ac:dyDescent="0.25">
      <c r="B48" s="4" t="s">
        <v>51</v>
      </c>
      <c r="C48" s="21">
        <v>554</v>
      </c>
      <c r="D48" s="21">
        <v>1560</v>
      </c>
      <c r="E48" s="21">
        <f t="shared" si="0"/>
        <v>-1006</v>
      </c>
    </row>
    <row r="49" spans="2:7" ht="15" customHeight="1" x14ac:dyDescent="0.25">
      <c r="B49" s="19" t="s">
        <v>52</v>
      </c>
      <c r="C49" s="24">
        <v>5834</v>
      </c>
      <c r="D49" s="24">
        <v>160</v>
      </c>
      <c r="E49" s="24">
        <f t="shared" si="0"/>
        <v>5674</v>
      </c>
    </row>
    <row r="50" spans="2:7" ht="15" customHeight="1" x14ac:dyDescent="0.25">
      <c r="B50" s="4" t="s">
        <v>5</v>
      </c>
      <c r="C50" s="21">
        <v>96</v>
      </c>
      <c r="D50" s="21">
        <v>12</v>
      </c>
      <c r="E50" s="21">
        <f t="shared" si="0"/>
        <v>84</v>
      </c>
    </row>
    <row r="51" spans="2:7" ht="15" customHeight="1" x14ac:dyDescent="0.25">
      <c r="B51" s="19" t="s">
        <v>6</v>
      </c>
      <c r="C51" s="24">
        <v>3168</v>
      </c>
      <c r="D51" s="24">
        <v>6656</v>
      </c>
      <c r="E51" s="24">
        <f t="shared" si="0"/>
        <v>-3488</v>
      </c>
    </row>
    <row r="52" spans="2:7" ht="15" customHeight="1" x14ac:dyDescent="0.25">
      <c r="B52" s="4" t="s">
        <v>7</v>
      </c>
      <c r="C52" s="21">
        <v>156227</v>
      </c>
      <c r="D52" s="21">
        <v>6635</v>
      </c>
      <c r="E52" s="21">
        <f t="shared" si="0"/>
        <v>149592</v>
      </c>
    </row>
    <row r="53" spans="2:7" ht="15" customHeight="1" x14ac:dyDescent="0.25">
      <c r="B53" s="19" t="s">
        <v>8</v>
      </c>
      <c r="C53" s="24">
        <v>1193</v>
      </c>
      <c r="D53" s="24">
        <v>3489</v>
      </c>
      <c r="E53" s="24">
        <f t="shared" si="0"/>
        <v>-2296</v>
      </c>
    </row>
    <row r="54" spans="2:7" ht="15" customHeight="1" x14ac:dyDescent="0.25">
      <c r="B54" s="4" t="s">
        <v>53</v>
      </c>
      <c r="C54" s="21">
        <v>1789</v>
      </c>
      <c r="D54" s="21">
        <v>15764</v>
      </c>
      <c r="E54" s="21">
        <f t="shared" si="0"/>
        <v>-13975</v>
      </c>
    </row>
    <row r="55" spans="2:7" ht="15" customHeight="1" x14ac:dyDescent="0.25">
      <c r="B55" s="19" t="s">
        <v>54</v>
      </c>
      <c r="C55" s="24">
        <v>1390</v>
      </c>
      <c r="D55" s="24">
        <v>4641</v>
      </c>
      <c r="E55" s="24">
        <f t="shared" si="0"/>
        <v>-3251</v>
      </c>
    </row>
    <row r="56" spans="2:7" ht="15" customHeight="1" x14ac:dyDescent="0.25">
      <c r="B56" s="4" t="s">
        <v>55</v>
      </c>
      <c r="C56" s="21">
        <v>687</v>
      </c>
      <c r="D56" s="21">
        <v>986</v>
      </c>
      <c r="E56" s="21">
        <f t="shared" si="0"/>
        <v>-299</v>
      </c>
    </row>
    <row r="57" spans="2:7" ht="15" customHeight="1" x14ac:dyDescent="0.25">
      <c r="B57" s="19" t="s">
        <v>56</v>
      </c>
      <c r="C57" s="24">
        <v>10175</v>
      </c>
      <c r="D57" s="24">
        <v>169</v>
      </c>
      <c r="E57" s="24">
        <f t="shared" si="0"/>
        <v>10006</v>
      </c>
    </row>
    <row r="58" spans="2:7" ht="15" customHeight="1" x14ac:dyDescent="0.25">
      <c r="B58" s="4" t="s">
        <v>57</v>
      </c>
      <c r="C58" s="21">
        <v>738128</v>
      </c>
      <c r="D58" s="21">
        <v>3846</v>
      </c>
      <c r="E58" s="21">
        <f t="shared" si="0"/>
        <v>734282</v>
      </c>
    </row>
    <row r="59" spans="2:7" ht="15" customHeight="1" x14ac:dyDescent="0.25">
      <c r="B59" s="19" t="s">
        <v>58</v>
      </c>
      <c r="C59" s="24">
        <v>794</v>
      </c>
      <c r="D59" s="24">
        <v>341</v>
      </c>
      <c r="E59" s="24">
        <f t="shared" si="0"/>
        <v>453</v>
      </c>
    </row>
    <row r="60" spans="2:7" ht="15" customHeight="1" x14ac:dyDescent="0.25">
      <c r="B60" s="4" t="s">
        <v>59</v>
      </c>
      <c r="C60" s="21">
        <v>403</v>
      </c>
      <c r="D60" s="21">
        <v>31321</v>
      </c>
      <c r="E60" s="21">
        <f t="shared" si="0"/>
        <v>-30918</v>
      </c>
    </row>
    <row r="61" spans="2:7" ht="15" customHeight="1" x14ac:dyDescent="0.25">
      <c r="B61" s="19" t="s">
        <v>60</v>
      </c>
      <c r="C61" s="24">
        <v>6974</v>
      </c>
      <c r="D61" s="24">
        <v>574</v>
      </c>
      <c r="E61" s="24">
        <f t="shared" si="0"/>
        <v>6400</v>
      </c>
    </row>
    <row r="62" spans="2:7" ht="15" customHeight="1" x14ac:dyDescent="0.25">
      <c r="B62" s="4" t="s">
        <v>64</v>
      </c>
      <c r="C62" s="21">
        <v>35305</v>
      </c>
      <c r="D62" s="21">
        <v>20311</v>
      </c>
      <c r="E62" s="21">
        <f t="shared" si="0"/>
        <v>14994</v>
      </c>
    </row>
    <row r="63" spans="2:7" s="47" customFormat="1" ht="30" customHeight="1" x14ac:dyDescent="0.2">
      <c r="B63" s="48" t="s">
        <v>69</v>
      </c>
      <c r="C63" s="49">
        <v>2622437</v>
      </c>
      <c r="D63" s="49">
        <v>85247</v>
      </c>
      <c r="E63" s="49">
        <f t="shared" si="0"/>
        <v>2537190</v>
      </c>
    </row>
    <row r="64" spans="2:7" ht="15" customHeight="1" x14ac:dyDescent="0.2">
      <c r="B64" s="45" t="s">
        <v>70</v>
      </c>
      <c r="C64" s="46">
        <v>316539</v>
      </c>
      <c r="D64" s="46">
        <v>45587</v>
      </c>
      <c r="E64" s="46">
        <f t="shared" si="0"/>
        <v>270952</v>
      </c>
      <c r="G64" s="47"/>
    </row>
    <row r="65" spans="1:7" ht="15" customHeight="1" x14ac:dyDescent="0.2">
      <c r="B65" s="45" t="s">
        <v>71</v>
      </c>
      <c r="C65" s="46">
        <v>1693353</v>
      </c>
      <c r="D65" s="46">
        <v>95819</v>
      </c>
      <c r="E65" s="46">
        <f t="shared" si="0"/>
        <v>1597534</v>
      </c>
      <c r="G65" s="47"/>
    </row>
    <row r="66" spans="1:7" ht="30" customHeight="1" thickBot="1" x14ac:dyDescent="0.25">
      <c r="B66" s="51" t="s">
        <v>72</v>
      </c>
      <c r="C66" s="52">
        <v>1512615</v>
      </c>
      <c r="D66" s="52">
        <v>50937</v>
      </c>
      <c r="E66" s="52">
        <f t="shared" si="0"/>
        <v>1461678</v>
      </c>
      <c r="G66" s="47"/>
    </row>
    <row r="67" spans="1:7" ht="15" customHeight="1" x14ac:dyDescent="0.25">
      <c r="B67" s="5"/>
      <c r="C67" s="6"/>
      <c r="D67" s="6"/>
      <c r="E67" s="6"/>
    </row>
    <row r="68" spans="1:7" ht="15" customHeight="1" x14ac:dyDescent="0.25">
      <c r="A68" s="123" t="s">
        <v>63</v>
      </c>
      <c r="B68" s="409" t="s">
        <v>326</v>
      </c>
      <c r="C68" s="410"/>
      <c r="D68" s="410"/>
      <c r="E68" s="410"/>
    </row>
    <row r="69" spans="1:7" ht="15" customHeight="1" x14ac:dyDescent="0.2">
      <c r="A69" s="369" t="s">
        <v>282</v>
      </c>
      <c r="B69" s="371" t="s">
        <v>323</v>
      </c>
      <c r="C69" s="359"/>
      <c r="D69" s="360"/>
      <c r="E69" s="360"/>
    </row>
    <row r="70" spans="1:7" ht="15" customHeight="1" x14ac:dyDescent="0.25">
      <c r="A70" s="370" t="s">
        <v>4</v>
      </c>
      <c r="B70" s="497" t="s">
        <v>344</v>
      </c>
      <c r="C70" s="408"/>
      <c r="D70" s="362"/>
      <c r="E70" s="362"/>
    </row>
    <row r="71" spans="1:7" ht="15" customHeight="1" x14ac:dyDescent="0.25"/>
    <row r="72" spans="1:7" ht="15" customHeight="1" x14ac:dyDescent="0.25"/>
    <row r="73" spans="1:7" ht="15" customHeight="1" x14ac:dyDescent="0.25"/>
    <row r="74" spans="1:7" ht="15" customHeight="1" x14ac:dyDescent="0.25"/>
    <row r="75" spans="1:7" ht="15" customHeight="1" x14ac:dyDescent="0.25"/>
    <row r="76" spans="1:7" ht="15" customHeight="1" x14ac:dyDescent="0.25"/>
    <row r="77" spans="1:7" ht="15" customHeight="1" x14ac:dyDescent="0.25"/>
    <row r="78" spans="1:7" ht="15" customHeight="1" x14ac:dyDescent="0.25"/>
    <row r="79" spans="1:7" ht="15" customHeight="1" x14ac:dyDescent="0.25"/>
    <row r="80" spans="1:7" ht="15" customHeight="1" x14ac:dyDescent="0.25"/>
    <row r="81" ht="15" customHeight="1" x14ac:dyDescent="0.25"/>
    <row r="82" ht="15" customHeight="1" x14ac:dyDescent="0.25"/>
    <row r="83" ht="15" customHeight="1" x14ac:dyDescent="0.25"/>
    <row r="84" ht="15" customHeight="1" x14ac:dyDescent="0.25"/>
  </sheetData>
  <mergeCells count="4">
    <mergeCell ref="B2:E2"/>
    <mergeCell ref="B3:E3"/>
    <mergeCell ref="B70:C70"/>
    <mergeCell ref="B68:E68"/>
  </mergeCells>
  <hyperlinks>
    <hyperlink ref="E1" location="Índice!A1" display="[índice Ç]"/>
    <hyperlink ref="B70"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topLeftCell="A40" workbookViewId="0">
      <selection activeCell="B47" sqref="B47:G47"/>
    </sheetView>
  </sheetViews>
  <sheetFormatPr defaultColWidth="8.7109375" defaultRowHeight="12" customHeight="1" x14ac:dyDescent="0.25"/>
  <cols>
    <col min="1" max="1" width="12.7109375" style="193" customWidth="1"/>
    <col min="2" max="2" width="19.140625" style="201" customWidth="1"/>
    <col min="3" max="6" width="16.7109375" style="203" customWidth="1"/>
    <col min="7" max="16384" width="8.7109375" style="193"/>
  </cols>
  <sheetData>
    <row r="1" spans="1:16" s="174" customFormat="1" ht="30" customHeight="1" x14ac:dyDescent="0.25">
      <c r="A1" s="192" t="s">
        <v>0</v>
      </c>
      <c r="B1" s="281" t="s">
        <v>1</v>
      </c>
      <c r="C1" s="374"/>
      <c r="D1" s="374"/>
      <c r="E1" s="209"/>
      <c r="F1" s="228" t="s">
        <v>269</v>
      </c>
      <c r="G1" s="193"/>
      <c r="H1" s="194"/>
      <c r="I1" s="194"/>
      <c r="J1" s="194"/>
      <c r="K1" s="194"/>
      <c r="L1" s="194"/>
      <c r="M1" s="194"/>
      <c r="N1" s="194"/>
      <c r="O1" s="194"/>
      <c r="P1" s="194"/>
    </row>
    <row r="2" spans="1:16" s="196" customFormat="1" ht="30" customHeight="1" x14ac:dyDescent="0.25">
      <c r="A2" s="195"/>
      <c r="B2" s="470" t="s">
        <v>324</v>
      </c>
      <c r="C2" s="471"/>
      <c r="D2" s="471"/>
      <c r="E2" s="471"/>
      <c r="F2" s="471"/>
      <c r="G2" s="204"/>
      <c r="H2" s="205"/>
      <c r="I2" s="206"/>
    </row>
    <row r="3" spans="1:16" s="198" customFormat="1" ht="30" customHeight="1" x14ac:dyDescent="0.25">
      <c r="A3" s="197"/>
      <c r="B3" s="493" t="s">
        <v>2</v>
      </c>
      <c r="C3" s="494"/>
      <c r="D3" s="494"/>
      <c r="E3" s="494"/>
      <c r="F3" s="494"/>
      <c r="G3" s="175"/>
      <c r="H3" s="207"/>
      <c r="I3" s="207"/>
    </row>
    <row r="4" spans="1:16" s="197" customFormat="1" ht="30" customHeight="1" x14ac:dyDescent="0.25">
      <c r="B4" s="483" t="s">
        <v>76</v>
      </c>
      <c r="C4" s="388"/>
      <c r="D4" s="388"/>
      <c r="E4" s="388"/>
      <c r="F4" s="388"/>
      <c r="G4" s="202"/>
      <c r="H4" s="193"/>
      <c r="I4" s="193"/>
    </row>
    <row r="5" spans="1:16" s="197" customFormat="1" ht="15" customHeight="1" x14ac:dyDescent="0.25">
      <c r="B5" s="483" t="s">
        <v>75</v>
      </c>
      <c r="C5" s="388"/>
      <c r="D5" s="388"/>
      <c r="E5" s="388"/>
      <c r="F5" s="388"/>
      <c r="G5" s="202"/>
      <c r="H5" s="193"/>
      <c r="I5" s="193"/>
    </row>
    <row r="6" spans="1:16" s="197" customFormat="1" ht="15" customHeight="1" x14ac:dyDescent="0.25">
      <c r="B6" s="483" t="s">
        <v>74</v>
      </c>
      <c r="C6" s="388"/>
      <c r="D6" s="388"/>
      <c r="E6" s="388"/>
      <c r="F6" s="388"/>
      <c r="G6" s="209"/>
      <c r="H6" s="193"/>
      <c r="I6" s="193"/>
    </row>
    <row r="7" spans="1:16" s="197" customFormat="1" ht="30" customHeight="1" x14ac:dyDescent="0.25">
      <c r="B7" s="483" t="s">
        <v>308</v>
      </c>
      <c r="C7" s="388"/>
      <c r="D7" s="388"/>
      <c r="E7" s="388"/>
      <c r="F7" s="388"/>
      <c r="G7" s="209"/>
      <c r="H7" s="193"/>
      <c r="I7" s="193"/>
    </row>
    <row r="8" spans="1:16" s="197" customFormat="1" ht="15" customHeight="1" x14ac:dyDescent="0.25">
      <c r="B8" s="483" t="s">
        <v>243</v>
      </c>
      <c r="C8" s="388"/>
      <c r="D8" s="388"/>
      <c r="E8" s="388"/>
      <c r="F8" s="388"/>
      <c r="G8" s="209"/>
      <c r="H8" s="193"/>
      <c r="I8" s="193"/>
    </row>
    <row r="9" spans="1:16" s="197" customFormat="1" ht="30" customHeight="1" x14ac:dyDescent="0.25">
      <c r="B9" s="483" t="s">
        <v>309</v>
      </c>
      <c r="C9" s="483"/>
      <c r="D9" s="483"/>
      <c r="E9" s="483"/>
      <c r="F9" s="483"/>
      <c r="G9" s="193"/>
      <c r="H9" s="193"/>
      <c r="I9" s="193"/>
    </row>
    <row r="10" spans="1:16" s="197" customFormat="1" ht="15" customHeight="1" x14ac:dyDescent="0.25">
      <c r="B10" s="483" t="s">
        <v>251</v>
      </c>
      <c r="C10" s="483"/>
      <c r="D10" s="483"/>
      <c r="E10" s="483"/>
      <c r="F10" s="483"/>
      <c r="G10" s="193"/>
      <c r="H10" s="193"/>
      <c r="I10" s="193"/>
    </row>
    <row r="11" spans="1:16" s="197" customFormat="1" ht="30" customHeight="1" x14ac:dyDescent="0.25">
      <c r="B11" s="483" t="s">
        <v>310</v>
      </c>
      <c r="C11" s="483"/>
      <c r="D11" s="483"/>
      <c r="E11" s="483"/>
      <c r="F11" s="483"/>
      <c r="G11" s="193"/>
      <c r="H11" s="193"/>
      <c r="I11" s="193"/>
    </row>
    <row r="12" spans="1:16" s="197" customFormat="1" ht="45" customHeight="1" x14ac:dyDescent="0.25">
      <c r="B12" s="483" t="s">
        <v>311</v>
      </c>
      <c r="C12" s="483"/>
      <c r="D12" s="483"/>
      <c r="E12" s="483"/>
      <c r="F12" s="483"/>
      <c r="G12" s="193"/>
      <c r="H12" s="193"/>
      <c r="I12" s="193"/>
    </row>
    <row r="13" spans="1:16" s="198" customFormat="1" ht="30" customHeight="1" x14ac:dyDescent="0.25">
      <c r="A13" s="197"/>
      <c r="B13" s="485" t="s">
        <v>246</v>
      </c>
      <c r="C13" s="486"/>
      <c r="D13" s="486"/>
      <c r="E13" s="486"/>
      <c r="F13" s="486"/>
      <c r="G13" s="175"/>
      <c r="H13" s="207"/>
      <c r="I13" s="207"/>
    </row>
    <row r="14" spans="1:16" s="198" customFormat="1" ht="22.5" customHeight="1" x14ac:dyDescent="0.25">
      <c r="A14" s="197"/>
      <c r="B14" s="489" t="s">
        <v>242</v>
      </c>
      <c r="C14" s="486"/>
      <c r="D14" s="486"/>
      <c r="E14" s="486"/>
      <c r="F14" s="486"/>
      <c r="G14" s="175"/>
      <c r="H14" s="207"/>
      <c r="I14" s="207"/>
    </row>
    <row r="15" spans="1:16" s="198" customFormat="1" ht="15" customHeight="1" x14ac:dyDescent="0.25">
      <c r="A15" s="197"/>
      <c r="B15" s="483" t="s">
        <v>248</v>
      </c>
      <c r="C15" s="388"/>
      <c r="D15" s="388"/>
      <c r="E15" s="388"/>
      <c r="F15" s="388"/>
      <c r="G15" s="204"/>
      <c r="H15" s="207"/>
      <c r="I15" s="207"/>
    </row>
    <row r="16" spans="1:16" s="198" customFormat="1" ht="15" customHeight="1" x14ac:dyDescent="0.25">
      <c r="A16" s="197"/>
      <c r="B16" s="483" t="s">
        <v>250</v>
      </c>
      <c r="C16" s="388"/>
      <c r="D16" s="388"/>
      <c r="E16" s="388"/>
      <c r="F16" s="388"/>
      <c r="G16" s="204"/>
      <c r="H16" s="207"/>
      <c r="I16" s="207"/>
    </row>
    <row r="17" spans="1:18" s="198" customFormat="1" ht="15" customHeight="1" x14ac:dyDescent="0.25">
      <c r="A17" s="197"/>
      <c r="B17" s="483" t="s">
        <v>272</v>
      </c>
      <c r="C17" s="388"/>
      <c r="D17" s="388"/>
      <c r="E17" s="388"/>
      <c r="F17" s="388"/>
      <c r="G17" s="213"/>
      <c r="H17" s="207"/>
      <c r="I17" s="207"/>
    </row>
    <row r="18" spans="1:18" s="198" customFormat="1" ht="15" customHeight="1" x14ac:dyDescent="0.25">
      <c r="A18" s="197"/>
      <c r="B18" s="483" t="s">
        <v>312</v>
      </c>
      <c r="C18" s="388"/>
      <c r="D18" s="388"/>
      <c r="E18" s="388"/>
      <c r="F18" s="388"/>
      <c r="G18" s="204"/>
      <c r="H18" s="207"/>
      <c r="I18" s="207"/>
    </row>
    <row r="19" spans="1:18" s="198" customFormat="1" ht="22.5" customHeight="1" x14ac:dyDescent="0.25">
      <c r="A19" s="197"/>
      <c r="B19" s="489" t="s">
        <v>244</v>
      </c>
      <c r="C19" s="486"/>
      <c r="D19" s="486"/>
      <c r="E19" s="486"/>
      <c r="F19" s="486"/>
      <c r="G19" s="175"/>
      <c r="H19" s="207"/>
      <c r="I19" s="207"/>
    </row>
    <row r="20" spans="1:18" s="198" customFormat="1" ht="15" customHeight="1" x14ac:dyDescent="0.25">
      <c r="A20" s="197"/>
      <c r="B20" s="483" t="s">
        <v>249</v>
      </c>
      <c r="C20" s="483"/>
      <c r="D20" s="483"/>
      <c r="E20" s="483"/>
      <c r="F20" s="483"/>
      <c r="G20" s="175"/>
      <c r="H20" s="207"/>
      <c r="I20" s="207"/>
    </row>
    <row r="21" spans="1:18" s="198" customFormat="1" ht="15" customHeight="1" x14ac:dyDescent="0.25">
      <c r="A21" s="197"/>
      <c r="B21" s="483" t="s">
        <v>257</v>
      </c>
      <c r="C21" s="483"/>
      <c r="D21" s="483"/>
      <c r="E21" s="483"/>
      <c r="F21" s="483"/>
      <c r="G21" s="175"/>
      <c r="H21" s="207"/>
      <c r="I21" s="207"/>
    </row>
    <row r="22" spans="1:18" s="198" customFormat="1" ht="15" customHeight="1" x14ac:dyDescent="0.2">
      <c r="A22" s="197"/>
      <c r="B22" s="483" t="s">
        <v>258</v>
      </c>
      <c r="C22" s="483"/>
      <c r="D22" s="483"/>
      <c r="E22" s="483"/>
      <c r="F22" s="483"/>
      <c r="G22" s="210"/>
      <c r="H22" s="207"/>
      <c r="I22" s="207"/>
    </row>
    <row r="23" spans="1:18" s="198" customFormat="1" ht="15" customHeight="1" x14ac:dyDescent="0.25">
      <c r="A23" s="197"/>
      <c r="B23" s="483" t="s">
        <v>313</v>
      </c>
      <c r="C23" s="388"/>
      <c r="D23" s="388"/>
      <c r="E23" s="388"/>
      <c r="F23" s="388"/>
      <c r="G23" s="213"/>
      <c r="H23" s="207"/>
      <c r="I23" s="207"/>
    </row>
    <row r="24" spans="1:18" s="198" customFormat="1" ht="30" customHeight="1" x14ac:dyDescent="0.25">
      <c r="A24" s="197"/>
      <c r="B24" s="485" t="s">
        <v>247</v>
      </c>
      <c r="C24" s="486"/>
      <c r="D24" s="486"/>
      <c r="E24" s="486"/>
      <c r="F24" s="486"/>
      <c r="G24" s="175"/>
      <c r="H24" s="207"/>
      <c r="I24" s="207"/>
    </row>
    <row r="25" spans="1:18" s="198" customFormat="1" ht="22.5" customHeight="1" x14ac:dyDescent="0.25">
      <c r="A25" s="197"/>
      <c r="B25" s="489" t="s">
        <v>242</v>
      </c>
      <c r="C25" s="486"/>
      <c r="D25" s="486"/>
      <c r="E25" s="486"/>
      <c r="F25" s="486"/>
      <c r="G25" s="175"/>
      <c r="H25" s="207"/>
      <c r="I25" s="207"/>
    </row>
    <row r="26" spans="1:18" s="198" customFormat="1" ht="15" customHeight="1" x14ac:dyDescent="0.25">
      <c r="A26" s="197"/>
      <c r="B26" s="484" t="s">
        <v>252</v>
      </c>
      <c r="C26" s="473"/>
      <c r="D26" s="473"/>
      <c r="E26" s="473"/>
      <c r="F26" s="473"/>
      <c r="G26" s="175"/>
      <c r="H26" s="207"/>
      <c r="I26" s="207"/>
    </row>
    <row r="27" spans="1:18" s="198" customFormat="1" ht="15" customHeight="1" x14ac:dyDescent="0.25">
      <c r="A27" s="197"/>
      <c r="B27" s="484" t="s">
        <v>254</v>
      </c>
      <c r="C27" s="473"/>
      <c r="D27" s="473"/>
      <c r="E27" s="473"/>
      <c r="F27" s="473"/>
      <c r="G27" s="175"/>
      <c r="H27" s="207"/>
      <c r="I27" s="207"/>
    </row>
    <row r="28" spans="1:18" s="198" customFormat="1" ht="15" customHeight="1" x14ac:dyDescent="0.25">
      <c r="A28" s="197"/>
      <c r="B28" s="484" t="s">
        <v>253</v>
      </c>
      <c r="C28" s="473"/>
      <c r="D28" s="473"/>
      <c r="E28" s="473"/>
      <c r="F28" s="473"/>
      <c r="G28" s="204"/>
      <c r="H28" s="207"/>
      <c r="I28" s="207"/>
    </row>
    <row r="29" spans="1:18" s="198" customFormat="1" ht="15" customHeight="1" x14ac:dyDescent="0.25">
      <c r="A29" s="197"/>
      <c r="B29" s="483" t="s">
        <v>314</v>
      </c>
      <c r="C29" s="388"/>
      <c r="D29" s="388"/>
      <c r="E29" s="388"/>
      <c r="F29" s="388"/>
      <c r="G29" s="213"/>
      <c r="H29" s="207"/>
      <c r="I29" s="207"/>
    </row>
    <row r="30" spans="1:18" s="198" customFormat="1" ht="22.5" customHeight="1" x14ac:dyDescent="0.25">
      <c r="A30" s="197"/>
      <c r="B30" s="489" t="s">
        <v>244</v>
      </c>
      <c r="C30" s="486"/>
      <c r="D30" s="486"/>
      <c r="E30" s="486"/>
      <c r="F30" s="486"/>
      <c r="G30" s="175"/>
      <c r="H30" s="207"/>
      <c r="I30" s="207"/>
      <c r="N30" s="487"/>
      <c r="O30" s="488"/>
      <c r="P30" s="488"/>
      <c r="Q30" s="488"/>
      <c r="R30" s="488"/>
    </row>
    <row r="31" spans="1:18" s="198" customFormat="1" ht="15" customHeight="1" x14ac:dyDescent="0.25">
      <c r="A31" s="197"/>
      <c r="B31" s="484" t="s">
        <v>255</v>
      </c>
      <c r="C31" s="473"/>
      <c r="D31" s="473"/>
      <c r="E31" s="473"/>
      <c r="F31" s="473"/>
      <c r="G31" s="175"/>
      <c r="H31" s="207"/>
      <c r="I31" s="207"/>
      <c r="N31" s="212"/>
      <c r="O31" s="199"/>
      <c r="P31" s="199"/>
      <c r="Q31" s="199"/>
      <c r="R31" s="199"/>
    </row>
    <row r="32" spans="1:18" s="198" customFormat="1" ht="15" customHeight="1" x14ac:dyDescent="0.25">
      <c r="A32" s="197"/>
      <c r="B32" s="484" t="s">
        <v>254</v>
      </c>
      <c r="C32" s="473"/>
      <c r="D32" s="473"/>
      <c r="E32" s="473"/>
      <c r="F32" s="473"/>
      <c r="G32" s="175"/>
      <c r="H32" s="207"/>
      <c r="I32" s="207"/>
      <c r="N32" s="212"/>
      <c r="O32" s="199"/>
      <c r="P32" s="199"/>
      <c r="Q32" s="199"/>
      <c r="R32" s="199"/>
    </row>
    <row r="33" spans="1:14" s="198" customFormat="1" ht="15" customHeight="1" x14ac:dyDescent="0.2">
      <c r="A33" s="197"/>
      <c r="B33" s="484" t="s">
        <v>256</v>
      </c>
      <c r="C33" s="473"/>
      <c r="D33" s="473"/>
      <c r="E33" s="473"/>
      <c r="F33" s="473"/>
      <c r="G33" s="210"/>
      <c r="H33" s="207"/>
      <c r="I33" s="207"/>
    </row>
    <row r="34" spans="1:14" s="198" customFormat="1" ht="15" customHeight="1" x14ac:dyDescent="0.25">
      <c r="A34" s="197"/>
      <c r="B34" s="483" t="s">
        <v>314</v>
      </c>
      <c r="C34" s="388"/>
      <c r="D34" s="388"/>
      <c r="E34" s="388"/>
      <c r="F34" s="388"/>
      <c r="G34" s="213"/>
      <c r="H34" s="207"/>
      <c r="I34" s="207"/>
    </row>
    <row r="35" spans="1:14" s="198" customFormat="1" ht="30" customHeight="1" x14ac:dyDescent="0.25">
      <c r="A35" s="197"/>
      <c r="B35" s="485" t="s">
        <v>3</v>
      </c>
      <c r="C35" s="486"/>
      <c r="D35" s="486"/>
      <c r="E35" s="486"/>
      <c r="F35" s="486"/>
      <c r="G35" s="175"/>
      <c r="H35" s="207"/>
      <c r="I35" s="207"/>
    </row>
    <row r="36" spans="1:14" s="198" customFormat="1" ht="22.5" customHeight="1" x14ac:dyDescent="0.25">
      <c r="A36" s="197"/>
      <c r="B36" s="489" t="s">
        <v>242</v>
      </c>
      <c r="C36" s="486"/>
      <c r="D36" s="486"/>
      <c r="E36" s="486"/>
      <c r="F36" s="486"/>
      <c r="G36" s="175"/>
      <c r="H36" s="207"/>
      <c r="I36" s="207"/>
    </row>
    <row r="37" spans="1:14" s="198" customFormat="1" ht="60" customHeight="1" x14ac:dyDescent="0.25">
      <c r="A37" s="197"/>
      <c r="B37" s="496" t="s">
        <v>322</v>
      </c>
      <c r="C37" s="484"/>
      <c r="D37" s="484"/>
      <c r="E37" s="484"/>
      <c r="F37" s="484"/>
      <c r="G37" s="175"/>
      <c r="H37" s="207"/>
      <c r="I37" s="207"/>
    </row>
    <row r="38" spans="1:14" s="198" customFormat="1" ht="52.5" customHeight="1" x14ac:dyDescent="0.25">
      <c r="A38" s="197"/>
      <c r="B38" s="483" t="s">
        <v>315</v>
      </c>
      <c r="C38" s="483"/>
      <c r="D38" s="483"/>
      <c r="E38" s="483"/>
      <c r="F38" s="483"/>
      <c r="G38" s="175"/>
      <c r="H38" s="207"/>
      <c r="I38" s="207"/>
    </row>
    <row r="39" spans="1:14" s="198" customFormat="1" ht="52.5" customHeight="1" x14ac:dyDescent="0.25">
      <c r="B39" s="483" t="s">
        <v>317</v>
      </c>
      <c r="C39" s="483"/>
      <c r="D39" s="483"/>
      <c r="E39" s="483"/>
      <c r="F39" s="483"/>
      <c r="G39" s="211"/>
      <c r="H39" s="207"/>
      <c r="I39" s="207"/>
    </row>
    <row r="40" spans="1:14" s="198" customFormat="1" ht="60" customHeight="1" x14ac:dyDescent="0.25">
      <c r="B40" s="483" t="s">
        <v>318</v>
      </c>
      <c r="C40" s="483"/>
      <c r="D40" s="483"/>
      <c r="E40" s="483"/>
      <c r="F40" s="483"/>
      <c r="G40" s="211"/>
      <c r="H40" s="207"/>
      <c r="I40" s="207"/>
    </row>
    <row r="41" spans="1:14" s="198" customFormat="1" ht="22.5" customHeight="1" x14ac:dyDescent="0.25">
      <c r="A41" s="197"/>
      <c r="B41" s="489" t="s">
        <v>244</v>
      </c>
      <c r="C41" s="486"/>
      <c r="D41" s="486"/>
      <c r="E41" s="486"/>
      <c r="F41" s="486"/>
      <c r="G41" s="204"/>
      <c r="H41" s="207"/>
      <c r="I41" s="175"/>
      <c r="J41" s="200"/>
      <c r="K41" s="200"/>
      <c r="L41" s="200"/>
      <c r="M41" s="200"/>
      <c r="N41" s="200"/>
    </row>
    <row r="42" spans="1:14" s="198" customFormat="1" ht="52.5" customHeight="1" x14ac:dyDescent="0.25">
      <c r="A42" s="197"/>
      <c r="B42" s="484" t="s">
        <v>259</v>
      </c>
      <c r="C42" s="473"/>
      <c r="D42" s="473"/>
      <c r="E42" s="473"/>
      <c r="F42" s="473"/>
      <c r="G42" s="204"/>
      <c r="H42" s="207"/>
      <c r="I42" s="175"/>
      <c r="J42" s="200"/>
      <c r="K42" s="200"/>
      <c r="L42" s="200"/>
      <c r="M42" s="200"/>
      <c r="N42" s="200"/>
    </row>
    <row r="43" spans="1:14" s="198" customFormat="1" ht="52.5" customHeight="1" x14ac:dyDescent="0.25">
      <c r="A43" s="197"/>
      <c r="B43" s="483" t="s">
        <v>279</v>
      </c>
      <c r="C43" s="388"/>
      <c r="D43" s="388"/>
      <c r="E43" s="388"/>
      <c r="F43" s="388"/>
      <c r="G43" s="204"/>
      <c r="H43" s="207"/>
      <c r="I43" s="175"/>
      <c r="J43" s="200"/>
      <c r="K43" s="200"/>
      <c r="L43" s="200"/>
      <c r="M43" s="200"/>
      <c r="N43" s="200"/>
    </row>
    <row r="44" spans="1:14" s="198" customFormat="1" ht="52.5" customHeight="1" x14ac:dyDescent="0.25">
      <c r="A44" s="197"/>
      <c r="B44" s="483" t="s">
        <v>280</v>
      </c>
      <c r="C44" s="388"/>
      <c r="D44" s="388"/>
      <c r="E44" s="388"/>
      <c r="F44" s="388"/>
      <c r="G44" s="211"/>
      <c r="H44" s="207"/>
      <c r="I44" s="175"/>
      <c r="J44" s="200"/>
      <c r="K44" s="200"/>
      <c r="L44" s="200"/>
      <c r="M44" s="200"/>
      <c r="N44" s="200"/>
    </row>
    <row r="45" spans="1:14" s="198" customFormat="1" ht="52.5" customHeight="1" x14ac:dyDescent="0.25">
      <c r="A45" s="197"/>
      <c r="B45" s="483" t="s">
        <v>316</v>
      </c>
      <c r="C45" s="388"/>
      <c r="D45" s="388"/>
      <c r="E45" s="388"/>
      <c r="F45" s="388"/>
      <c r="G45" s="211"/>
      <c r="H45" s="207"/>
      <c r="I45" s="175"/>
      <c r="J45" s="200"/>
      <c r="K45" s="200"/>
      <c r="L45" s="200"/>
      <c r="M45" s="200"/>
      <c r="N45" s="200"/>
    </row>
    <row r="46" spans="1:14" ht="45" customHeight="1" x14ac:dyDescent="0.25">
      <c r="A46" s="363" t="s">
        <v>282</v>
      </c>
      <c r="B46" s="490" t="s">
        <v>323</v>
      </c>
      <c r="C46" s="491"/>
      <c r="D46" s="491"/>
      <c r="E46" s="491"/>
      <c r="F46" s="491"/>
      <c r="G46" s="491"/>
      <c r="H46" s="232"/>
    </row>
    <row r="47" spans="1:14" s="214" customFormat="1" ht="45" customHeight="1" x14ac:dyDescent="0.25">
      <c r="A47" s="364" t="s">
        <v>4</v>
      </c>
      <c r="B47" s="495" t="s">
        <v>344</v>
      </c>
      <c r="C47" s="492"/>
      <c r="D47" s="492"/>
      <c r="E47" s="492"/>
      <c r="F47" s="492"/>
      <c r="G47" s="492"/>
      <c r="H47" s="232"/>
    </row>
    <row r="48" spans="1:14"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sheetData>
  <mergeCells count="47">
    <mergeCell ref="B2:F2"/>
    <mergeCell ref="B8:F8"/>
    <mergeCell ref="B9:F9"/>
    <mergeCell ref="B7:F7"/>
    <mergeCell ref="B35:F35"/>
    <mergeCell ref="B28:F28"/>
    <mergeCell ref="B33:F33"/>
    <mergeCell ref="B14:F14"/>
    <mergeCell ref="B18:F18"/>
    <mergeCell ref="B25:F25"/>
    <mergeCell ref="B3:F3"/>
    <mergeCell ref="B4:F4"/>
    <mergeCell ref="B5:F5"/>
    <mergeCell ref="B10:F10"/>
    <mergeCell ref="B12:F12"/>
    <mergeCell ref="B15:F15"/>
    <mergeCell ref="B46:G46"/>
    <mergeCell ref="B47:G47"/>
    <mergeCell ref="B16:F16"/>
    <mergeCell ref="B26:F26"/>
    <mergeCell ref="B27:F27"/>
    <mergeCell ref="B38:F38"/>
    <mergeCell ref="B30:F30"/>
    <mergeCell ref="B19:F19"/>
    <mergeCell ref="B22:F22"/>
    <mergeCell ref="B24:F24"/>
    <mergeCell ref="B23:F23"/>
    <mergeCell ref="B29:F29"/>
    <mergeCell ref="B20:F20"/>
    <mergeCell ref="B21:F21"/>
    <mergeCell ref="N30:R30"/>
    <mergeCell ref="B40:F40"/>
    <mergeCell ref="B45:F45"/>
    <mergeCell ref="B36:F36"/>
    <mergeCell ref="B41:F41"/>
    <mergeCell ref="B34:F34"/>
    <mergeCell ref="B44:F44"/>
    <mergeCell ref="B37:F37"/>
    <mergeCell ref="B43:F43"/>
    <mergeCell ref="B39:F39"/>
    <mergeCell ref="B31:F31"/>
    <mergeCell ref="B6:F6"/>
    <mergeCell ref="B17:F17"/>
    <mergeCell ref="B11:F11"/>
    <mergeCell ref="B42:F42"/>
    <mergeCell ref="B32:F32"/>
    <mergeCell ref="B13:F13"/>
  </mergeCells>
  <hyperlinks>
    <hyperlink ref="F1" location="Índice!A1" display="[índice Ç]"/>
    <hyperlink ref="B4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showGridLines="0" topLeftCell="A55" zoomScaleNormal="100" workbookViewId="0">
      <selection activeCell="D70" sqref="D70"/>
    </sheetView>
  </sheetViews>
  <sheetFormatPr defaultColWidth="8.7109375" defaultRowHeight="12" customHeight="1" x14ac:dyDescent="0.25"/>
  <cols>
    <col min="1" max="1" width="12.7109375" style="1" customWidth="1"/>
    <col min="2" max="2" width="24.7109375" style="1" customWidth="1"/>
    <col min="3" max="5" width="16.7109375" style="15" customWidth="1"/>
    <col min="8" max="16384" width="8.7109375" style="1"/>
  </cols>
  <sheetData>
    <row r="1" spans="1:5" ht="30" customHeight="1" x14ac:dyDescent="0.25">
      <c r="A1" s="100" t="s">
        <v>0</v>
      </c>
      <c r="B1" s="216" t="s">
        <v>1</v>
      </c>
      <c r="C1" s="376"/>
      <c r="D1" s="376"/>
      <c r="E1" s="228" t="s">
        <v>269</v>
      </c>
    </row>
    <row r="2" spans="1:5" ht="45" customHeight="1" x14ac:dyDescent="0.25">
      <c r="B2" s="404" t="s">
        <v>276</v>
      </c>
      <c r="C2" s="411"/>
      <c r="D2" s="411"/>
      <c r="E2" s="411"/>
    </row>
    <row r="3" spans="1:5" ht="15" customHeight="1" thickBot="1" x14ac:dyDescent="0.3">
      <c r="B3" s="406" t="s">
        <v>61</v>
      </c>
      <c r="C3" s="407"/>
      <c r="D3" s="407"/>
      <c r="E3" s="407"/>
    </row>
    <row r="4" spans="1:5" ht="45" customHeight="1" x14ac:dyDescent="0.25">
      <c r="B4" s="20" t="s">
        <v>62</v>
      </c>
      <c r="C4" s="17" t="s">
        <v>65</v>
      </c>
      <c r="D4" s="17" t="s">
        <v>66</v>
      </c>
      <c r="E4" s="18" t="s">
        <v>67</v>
      </c>
    </row>
    <row r="5" spans="1:5" ht="15" customHeight="1" x14ac:dyDescent="0.25">
      <c r="B5" s="4" t="s">
        <v>34</v>
      </c>
      <c r="C5" s="21">
        <v>894932</v>
      </c>
      <c r="D5" s="27">
        <f>C5/C$62*100</f>
        <v>29.675005811106058</v>
      </c>
      <c r="E5" s="27">
        <f>D5</f>
        <v>29.675005811106058</v>
      </c>
    </row>
    <row r="6" spans="1:5" ht="15" customHeight="1" x14ac:dyDescent="0.25">
      <c r="B6" s="5" t="s">
        <v>57</v>
      </c>
      <c r="C6" s="22">
        <v>738128</v>
      </c>
      <c r="D6" s="28">
        <f t="shared" ref="D6:D66" si="0">C6/C$62*100</f>
        <v>24.475549750528636</v>
      </c>
      <c r="E6" s="28">
        <f>D6+E5</f>
        <v>54.15055556163469</v>
      </c>
    </row>
    <row r="7" spans="1:5" ht="15" customHeight="1" x14ac:dyDescent="0.25">
      <c r="B7" s="4" t="s">
        <v>13</v>
      </c>
      <c r="C7" s="21">
        <v>304328</v>
      </c>
      <c r="D7" s="27">
        <f t="shared" si="0"/>
        <v>10.091197061321179</v>
      </c>
      <c r="E7" s="27">
        <f t="shared" ref="E7:E61" si="1">D7+E6</f>
        <v>64.241752622955872</v>
      </c>
    </row>
    <row r="8" spans="1:5" ht="15" customHeight="1" x14ac:dyDescent="0.25">
      <c r="B8" s="5" t="s">
        <v>12</v>
      </c>
      <c r="C8" s="22">
        <v>197247</v>
      </c>
      <c r="D8" s="28">
        <f t="shared" si="0"/>
        <v>6.5405034921348619</v>
      </c>
      <c r="E8" s="28">
        <f t="shared" si="1"/>
        <v>70.782256115090732</v>
      </c>
    </row>
    <row r="9" spans="1:5" ht="15" customHeight="1" x14ac:dyDescent="0.25">
      <c r="B9" s="4" t="s">
        <v>30</v>
      </c>
      <c r="C9" s="21">
        <v>156697</v>
      </c>
      <c r="D9" s="27">
        <f t="shared" si="0"/>
        <v>5.1959080528832207</v>
      </c>
      <c r="E9" s="27">
        <f t="shared" si="1"/>
        <v>75.978164167973958</v>
      </c>
    </row>
    <row r="10" spans="1:5" ht="15" customHeight="1" x14ac:dyDescent="0.25">
      <c r="B10" s="7" t="s">
        <v>7</v>
      </c>
      <c r="C10" s="23">
        <v>156227</v>
      </c>
      <c r="D10" s="29">
        <f t="shared" si="0"/>
        <v>5.1803233461890583</v>
      </c>
      <c r="E10" s="29">
        <f t="shared" si="1"/>
        <v>81.158487514163014</v>
      </c>
    </row>
    <row r="11" spans="1:5" ht="15" customHeight="1" x14ac:dyDescent="0.25">
      <c r="B11" s="4" t="s">
        <v>31</v>
      </c>
      <c r="C11" s="21">
        <v>140320</v>
      </c>
      <c r="D11" s="27">
        <f t="shared" si="0"/>
        <v>4.6528639219677048</v>
      </c>
      <c r="E11" s="27">
        <f t="shared" si="1"/>
        <v>85.811351436130721</v>
      </c>
    </row>
    <row r="12" spans="1:5" ht="15" customHeight="1" x14ac:dyDescent="0.25">
      <c r="B12" s="5" t="s">
        <v>46</v>
      </c>
      <c r="C12" s="22">
        <v>86937</v>
      </c>
      <c r="D12" s="28">
        <f t="shared" si="0"/>
        <v>2.8827396720646119</v>
      </c>
      <c r="E12" s="28">
        <f t="shared" si="1"/>
        <v>88.694091108195337</v>
      </c>
    </row>
    <row r="13" spans="1:5" ht="15" customHeight="1" x14ac:dyDescent="0.25">
      <c r="B13" s="4" t="s">
        <v>19</v>
      </c>
      <c r="C13" s="21">
        <v>67205</v>
      </c>
      <c r="D13" s="27">
        <f t="shared" si="0"/>
        <v>2.2284472625131104</v>
      </c>
      <c r="E13" s="27">
        <f t="shared" si="1"/>
        <v>90.922538370708452</v>
      </c>
    </row>
    <row r="14" spans="1:5" ht="15" customHeight="1" x14ac:dyDescent="0.25">
      <c r="B14" s="5" t="s">
        <v>37</v>
      </c>
      <c r="C14" s="22">
        <v>61053</v>
      </c>
      <c r="D14" s="28">
        <f t="shared" si="0"/>
        <v>2.0244533995716525</v>
      </c>
      <c r="E14" s="28">
        <f t="shared" si="1"/>
        <v>92.946991770280107</v>
      </c>
    </row>
    <row r="15" spans="1:5" ht="15" customHeight="1" x14ac:dyDescent="0.25">
      <c r="B15" s="4" t="s">
        <v>23</v>
      </c>
      <c r="C15" s="21">
        <v>42792</v>
      </c>
      <c r="D15" s="27">
        <f t="shared" si="0"/>
        <v>1.4189378060778366</v>
      </c>
      <c r="E15" s="27">
        <f t="shared" si="1"/>
        <v>94.365929576357942</v>
      </c>
    </row>
    <row r="16" spans="1:5" ht="15" customHeight="1" x14ac:dyDescent="0.25">
      <c r="B16" s="5" t="s">
        <v>42</v>
      </c>
      <c r="C16" s="22">
        <v>22136</v>
      </c>
      <c r="D16" s="28">
        <f t="shared" si="0"/>
        <v>0.73400652634462027</v>
      </c>
      <c r="E16" s="28">
        <f t="shared" si="1"/>
        <v>95.099936102702557</v>
      </c>
    </row>
    <row r="17" spans="2:5" ht="15" customHeight="1" x14ac:dyDescent="0.25">
      <c r="B17" s="4" t="s">
        <v>20</v>
      </c>
      <c r="C17" s="21">
        <v>16524</v>
      </c>
      <c r="D17" s="27">
        <f t="shared" si="0"/>
        <v>0.54791849662624259</v>
      </c>
      <c r="E17" s="27">
        <f t="shared" si="1"/>
        <v>95.647854599328795</v>
      </c>
    </row>
    <row r="18" spans="2:5" ht="15" customHeight="1" x14ac:dyDescent="0.25">
      <c r="B18" s="5" t="s">
        <v>56</v>
      </c>
      <c r="C18" s="22">
        <v>10175</v>
      </c>
      <c r="D18" s="28">
        <f t="shared" si="0"/>
        <v>0.33739232045340223</v>
      </c>
      <c r="E18" s="28">
        <f t="shared" si="1"/>
        <v>95.985246919782199</v>
      </c>
    </row>
    <row r="19" spans="2:5" ht="15" customHeight="1" x14ac:dyDescent="0.25">
      <c r="B19" s="4" t="s">
        <v>18</v>
      </c>
      <c r="C19" s="21">
        <v>9167</v>
      </c>
      <c r="D19" s="27">
        <f t="shared" si="0"/>
        <v>0.30396809843698652</v>
      </c>
      <c r="E19" s="27">
        <f t="shared" si="1"/>
        <v>96.289215018219181</v>
      </c>
    </row>
    <row r="20" spans="2:5" ht="15" customHeight="1" x14ac:dyDescent="0.25">
      <c r="B20" s="5" t="s">
        <v>40</v>
      </c>
      <c r="C20" s="22">
        <v>8753</v>
      </c>
      <c r="D20" s="28">
        <f t="shared" si="0"/>
        <v>0.29024029296595866</v>
      </c>
      <c r="E20" s="28">
        <f t="shared" si="1"/>
        <v>96.579455311185143</v>
      </c>
    </row>
    <row r="21" spans="2:5" ht="15" customHeight="1" x14ac:dyDescent="0.25">
      <c r="B21" s="4" t="s">
        <v>50</v>
      </c>
      <c r="C21" s="21">
        <v>7560</v>
      </c>
      <c r="D21" s="27">
        <f t="shared" si="0"/>
        <v>0.25068166512311751</v>
      </c>
      <c r="E21" s="27">
        <f t="shared" si="1"/>
        <v>96.830136976308253</v>
      </c>
    </row>
    <row r="22" spans="2:5" ht="15" customHeight="1" x14ac:dyDescent="0.25">
      <c r="B22" s="19" t="s">
        <v>60</v>
      </c>
      <c r="C22" s="24">
        <v>6974</v>
      </c>
      <c r="D22" s="30">
        <f t="shared" si="0"/>
        <v>0.23125052018103462</v>
      </c>
      <c r="E22" s="30">
        <f t="shared" si="1"/>
        <v>97.061387496489289</v>
      </c>
    </row>
    <row r="23" spans="2:5" ht="15" customHeight="1" x14ac:dyDescent="0.25">
      <c r="B23" s="4" t="s">
        <v>11</v>
      </c>
      <c r="C23" s="21">
        <v>6558</v>
      </c>
      <c r="D23" s="27">
        <f t="shared" si="0"/>
        <v>0.2174563968091805</v>
      </c>
      <c r="E23" s="27">
        <f t="shared" si="1"/>
        <v>97.278843893298472</v>
      </c>
    </row>
    <row r="24" spans="2:5" ht="15" customHeight="1" x14ac:dyDescent="0.25">
      <c r="B24" s="19" t="s">
        <v>27</v>
      </c>
      <c r="C24" s="24">
        <v>6024</v>
      </c>
      <c r="D24" s="30">
        <f t="shared" si="0"/>
        <v>0.19974951728857934</v>
      </c>
      <c r="E24" s="30">
        <f t="shared" si="1"/>
        <v>97.478593410587052</v>
      </c>
    </row>
    <row r="25" spans="2:5" ht="15" customHeight="1" x14ac:dyDescent="0.25">
      <c r="B25" s="4" t="s">
        <v>52</v>
      </c>
      <c r="C25" s="21">
        <v>5834</v>
      </c>
      <c r="D25" s="27">
        <f t="shared" si="0"/>
        <v>0.1934493167100883</v>
      </c>
      <c r="E25" s="27">
        <f t="shared" si="1"/>
        <v>97.672042727297139</v>
      </c>
    </row>
    <row r="26" spans="2:5" ht="15" customHeight="1" x14ac:dyDescent="0.25">
      <c r="B26" s="19" t="s">
        <v>33</v>
      </c>
      <c r="C26" s="24">
        <v>3800</v>
      </c>
      <c r="D26" s="30">
        <f t="shared" si="0"/>
        <v>0.12600401156982097</v>
      </c>
      <c r="E26" s="30">
        <f t="shared" si="1"/>
        <v>97.798046738866958</v>
      </c>
    </row>
    <row r="27" spans="2:5" ht="15" customHeight="1" x14ac:dyDescent="0.25">
      <c r="B27" s="4" t="s">
        <v>22</v>
      </c>
      <c r="C27" s="21">
        <v>3438</v>
      </c>
      <c r="D27" s="27">
        <f t="shared" si="0"/>
        <v>0.11400047152027488</v>
      </c>
      <c r="E27" s="27">
        <f t="shared" si="1"/>
        <v>97.912047210387229</v>
      </c>
    </row>
    <row r="28" spans="2:5" ht="15" customHeight="1" x14ac:dyDescent="0.25">
      <c r="B28" s="19" t="s">
        <v>17</v>
      </c>
      <c r="C28" s="24">
        <v>3221</v>
      </c>
      <c r="D28" s="30">
        <f t="shared" si="0"/>
        <v>0.10680497928062985</v>
      </c>
      <c r="E28" s="30">
        <f t="shared" si="1"/>
        <v>98.018852189667854</v>
      </c>
    </row>
    <row r="29" spans="2:5" ht="15" customHeight="1" x14ac:dyDescent="0.25">
      <c r="B29" s="4" t="s">
        <v>6</v>
      </c>
      <c r="C29" s="21">
        <v>3168</v>
      </c>
      <c r="D29" s="27">
        <f t="shared" si="0"/>
        <v>0.10504755490873495</v>
      </c>
      <c r="E29" s="27">
        <f t="shared" si="1"/>
        <v>98.12389974457659</v>
      </c>
    </row>
    <row r="30" spans="2:5" ht="15" customHeight="1" x14ac:dyDescent="0.25">
      <c r="B30" s="19" t="s">
        <v>53</v>
      </c>
      <c r="C30" s="24">
        <v>1789</v>
      </c>
      <c r="D30" s="30">
        <f t="shared" si="0"/>
        <v>5.9321362289055192E-2</v>
      </c>
      <c r="E30" s="30">
        <f t="shared" si="1"/>
        <v>98.183221106865645</v>
      </c>
    </row>
    <row r="31" spans="2:5" ht="15" customHeight="1" x14ac:dyDescent="0.25">
      <c r="B31" s="4" t="s">
        <v>24</v>
      </c>
      <c r="C31" s="21">
        <v>1669</v>
      </c>
      <c r="D31" s="27">
        <f t="shared" si="0"/>
        <v>5.5342288239481903E-2</v>
      </c>
      <c r="E31" s="27">
        <f t="shared" si="1"/>
        <v>98.238563395105132</v>
      </c>
    </row>
    <row r="32" spans="2:5" ht="15" customHeight="1" x14ac:dyDescent="0.25">
      <c r="B32" s="19" t="s">
        <v>54</v>
      </c>
      <c r="C32" s="24">
        <v>1390</v>
      </c>
      <c r="D32" s="30">
        <f t="shared" si="0"/>
        <v>4.6090941074223984E-2</v>
      </c>
      <c r="E32" s="30">
        <f t="shared" si="1"/>
        <v>98.284654336179358</v>
      </c>
    </row>
    <row r="33" spans="2:5" ht="15" customHeight="1" x14ac:dyDescent="0.25">
      <c r="B33" s="4" t="s">
        <v>8</v>
      </c>
      <c r="C33" s="21">
        <v>1193</v>
      </c>
      <c r="D33" s="27">
        <f t="shared" si="0"/>
        <v>3.9558627842841164E-2</v>
      </c>
      <c r="E33" s="27">
        <f t="shared" si="1"/>
        <v>98.324212964022195</v>
      </c>
    </row>
    <row r="34" spans="2:5" ht="15" customHeight="1" x14ac:dyDescent="0.25">
      <c r="B34" s="19" t="s">
        <v>43</v>
      </c>
      <c r="C34" s="24">
        <v>1159</v>
      </c>
      <c r="D34" s="30">
        <f t="shared" si="0"/>
        <v>3.8431223528795397E-2</v>
      </c>
      <c r="E34" s="30">
        <f t="shared" si="1"/>
        <v>98.362644187550984</v>
      </c>
    </row>
    <row r="35" spans="2:5" ht="15" customHeight="1" x14ac:dyDescent="0.25">
      <c r="B35" s="4" t="s">
        <v>48</v>
      </c>
      <c r="C35" s="21">
        <v>1132</v>
      </c>
      <c r="D35" s="27">
        <f t="shared" si="0"/>
        <v>3.7535931867641405E-2</v>
      </c>
      <c r="E35" s="27">
        <f t="shared" si="1"/>
        <v>98.400180119418621</v>
      </c>
    </row>
    <row r="36" spans="2:5" ht="15" customHeight="1" x14ac:dyDescent="0.25">
      <c r="B36" s="19" t="s">
        <v>35</v>
      </c>
      <c r="C36" s="24">
        <v>1118</v>
      </c>
      <c r="D36" s="30">
        <f t="shared" si="0"/>
        <v>3.7071706561857855E-2</v>
      </c>
      <c r="E36" s="30">
        <f t="shared" si="1"/>
        <v>98.437251825980482</v>
      </c>
    </row>
    <row r="37" spans="2:5" ht="15" customHeight="1" x14ac:dyDescent="0.25">
      <c r="B37" s="4" t="s">
        <v>25</v>
      </c>
      <c r="C37" s="21">
        <v>982</v>
      </c>
      <c r="D37" s="27">
        <f t="shared" si="0"/>
        <v>3.2562089305674793E-2</v>
      </c>
      <c r="E37" s="27">
        <f t="shared" si="1"/>
        <v>98.469813915286153</v>
      </c>
    </row>
    <row r="38" spans="2:5" ht="15" customHeight="1" x14ac:dyDescent="0.25">
      <c r="B38" s="19" t="s">
        <v>47</v>
      </c>
      <c r="C38" s="24">
        <v>944</v>
      </c>
      <c r="D38" s="30">
        <f t="shared" si="0"/>
        <v>3.1302049189976575E-2</v>
      </c>
      <c r="E38" s="30">
        <f t="shared" si="1"/>
        <v>98.501115964476128</v>
      </c>
    </row>
    <row r="39" spans="2:5" ht="15" customHeight="1" x14ac:dyDescent="0.25">
      <c r="B39" s="4" t="s">
        <v>14</v>
      </c>
      <c r="C39" s="21">
        <v>826</v>
      </c>
      <c r="D39" s="27">
        <f t="shared" si="0"/>
        <v>2.7389293041229508E-2</v>
      </c>
      <c r="E39" s="27">
        <f t="shared" si="1"/>
        <v>98.528505257517352</v>
      </c>
    </row>
    <row r="40" spans="2:5" ht="15" customHeight="1" x14ac:dyDescent="0.25">
      <c r="B40" s="19" t="s">
        <v>58</v>
      </c>
      <c r="C40" s="24">
        <v>794</v>
      </c>
      <c r="D40" s="30">
        <f t="shared" si="0"/>
        <v>2.6328206628009963E-2</v>
      </c>
      <c r="E40" s="30">
        <f t="shared" si="1"/>
        <v>98.554833464145361</v>
      </c>
    </row>
    <row r="41" spans="2:5" ht="15" customHeight="1" x14ac:dyDescent="0.25">
      <c r="B41" s="4" t="s">
        <v>55</v>
      </c>
      <c r="C41" s="21">
        <v>687</v>
      </c>
      <c r="D41" s="27">
        <f t="shared" si="0"/>
        <v>2.2780198933807106E-2</v>
      </c>
      <c r="E41" s="27">
        <f t="shared" si="1"/>
        <v>98.577613663079163</v>
      </c>
    </row>
    <row r="42" spans="2:5" ht="15" customHeight="1" x14ac:dyDescent="0.25">
      <c r="B42" s="19" t="s">
        <v>38</v>
      </c>
      <c r="C42" s="24">
        <v>684</v>
      </c>
      <c r="D42" s="30">
        <f t="shared" si="0"/>
        <v>2.2680722082567776E-2</v>
      </c>
      <c r="E42" s="30">
        <f t="shared" si="1"/>
        <v>98.600294385161732</v>
      </c>
    </row>
    <row r="43" spans="2:5" ht="15" customHeight="1" x14ac:dyDescent="0.25">
      <c r="B43" s="4" t="s">
        <v>32</v>
      </c>
      <c r="C43" s="21">
        <v>673</v>
      </c>
      <c r="D43" s="27">
        <f t="shared" si="0"/>
        <v>2.2315973628023556E-2</v>
      </c>
      <c r="E43" s="27">
        <f t="shared" si="1"/>
        <v>98.622610358789757</v>
      </c>
    </row>
    <row r="44" spans="2:5" ht="15" customHeight="1" x14ac:dyDescent="0.25">
      <c r="B44" s="19" t="s">
        <v>44</v>
      </c>
      <c r="C44" s="24">
        <v>667</v>
      </c>
      <c r="D44" s="30">
        <f t="shared" si="0"/>
        <v>2.2117019925544892E-2</v>
      </c>
      <c r="E44" s="30">
        <f t="shared" si="1"/>
        <v>98.644727378715302</v>
      </c>
    </row>
    <row r="45" spans="2:5" ht="15" customHeight="1" x14ac:dyDescent="0.25">
      <c r="B45" s="4" t="s">
        <v>49</v>
      </c>
      <c r="C45" s="21">
        <v>618</v>
      </c>
      <c r="D45" s="27">
        <f t="shared" si="0"/>
        <v>2.0492231355302464E-2</v>
      </c>
      <c r="E45" s="27">
        <f t="shared" si="1"/>
        <v>98.665219610070608</v>
      </c>
    </row>
    <row r="46" spans="2:5" ht="15" customHeight="1" x14ac:dyDescent="0.25">
      <c r="B46" s="19" t="s">
        <v>28</v>
      </c>
      <c r="C46" s="24">
        <v>573</v>
      </c>
      <c r="D46" s="30">
        <f t="shared" si="0"/>
        <v>1.9000078586712481E-2</v>
      </c>
      <c r="E46" s="30">
        <f t="shared" si="1"/>
        <v>98.684219688657322</v>
      </c>
    </row>
    <row r="47" spans="2:5" ht="15" customHeight="1" x14ac:dyDescent="0.25">
      <c r="B47" s="4" t="s">
        <v>39</v>
      </c>
      <c r="C47" s="21">
        <v>571</v>
      </c>
      <c r="D47" s="27">
        <f t="shared" si="0"/>
        <v>1.8933760685886258E-2</v>
      </c>
      <c r="E47" s="27">
        <f t="shared" si="1"/>
        <v>98.703153449343205</v>
      </c>
    </row>
    <row r="48" spans="2:5" ht="15" customHeight="1" x14ac:dyDescent="0.25">
      <c r="B48" s="19" t="s">
        <v>51</v>
      </c>
      <c r="C48" s="24">
        <v>554</v>
      </c>
      <c r="D48" s="30">
        <f t="shared" si="0"/>
        <v>1.8370058528863375E-2</v>
      </c>
      <c r="E48" s="30">
        <f t="shared" si="1"/>
        <v>98.721523507872064</v>
      </c>
    </row>
    <row r="49" spans="2:5" ht="15" customHeight="1" x14ac:dyDescent="0.25">
      <c r="B49" s="4" t="s">
        <v>21</v>
      </c>
      <c r="C49" s="21">
        <v>527</v>
      </c>
      <c r="D49" s="27">
        <f t="shared" si="0"/>
        <v>1.7474766867709383E-2</v>
      </c>
      <c r="E49" s="27">
        <f t="shared" si="1"/>
        <v>98.738998274739771</v>
      </c>
    </row>
    <row r="50" spans="2:5" ht="15" customHeight="1" x14ac:dyDescent="0.25">
      <c r="B50" s="19" t="s">
        <v>36</v>
      </c>
      <c r="C50" s="24">
        <v>526</v>
      </c>
      <c r="D50" s="30">
        <f t="shared" si="0"/>
        <v>1.7441607917296272E-2</v>
      </c>
      <c r="E50" s="30">
        <f t="shared" si="1"/>
        <v>98.756439882657062</v>
      </c>
    </row>
    <row r="51" spans="2:5" ht="15" customHeight="1" x14ac:dyDescent="0.25">
      <c r="B51" s="4" t="s">
        <v>16</v>
      </c>
      <c r="C51" s="21">
        <v>449</v>
      </c>
      <c r="D51" s="27">
        <f t="shared" si="0"/>
        <v>1.4888368735486743E-2</v>
      </c>
      <c r="E51" s="27">
        <f t="shared" si="1"/>
        <v>98.771328251392546</v>
      </c>
    </row>
    <row r="52" spans="2:5" ht="15" customHeight="1" x14ac:dyDescent="0.25">
      <c r="B52" s="19" t="s">
        <v>59</v>
      </c>
      <c r="C52" s="24">
        <v>403</v>
      </c>
      <c r="D52" s="30">
        <f t="shared" si="0"/>
        <v>1.3363057016483647E-2</v>
      </c>
      <c r="E52" s="30">
        <f t="shared" si="1"/>
        <v>98.784691308409023</v>
      </c>
    </row>
    <row r="53" spans="2:5" ht="15" customHeight="1" x14ac:dyDescent="0.25">
      <c r="B53" s="4" t="s">
        <v>29</v>
      </c>
      <c r="C53" s="21">
        <v>398</v>
      </c>
      <c r="D53" s="27">
        <f t="shared" si="0"/>
        <v>1.3197262264418093E-2</v>
      </c>
      <c r="E53" s="27">
        <f t="shared" si="1"/>
        <v>98.797888570673436</v>
      </c>
    </row>
    <row r="54" spans="2:5" ht="15" customHeight="1" x14ac:dyDescent="0.25">
      <c r="B54" s="19" t="s">
        <v>41</v>
      </c>
      <c r="C54" s="24">
        <v>252</v>
      </c>
      <c r="D54" s="30">
        <f t="shared" si="0"/>
        <v>8.3560555041039177E-3</v>
      </c>
      <c r="E54" s="30">
        <f t="shared" si="1"/>
        <v>98.806244626177545</v>
      </c>
    </row>
    <row r="55" spans="2:5" ht="15" customHeight="1" x14ac:dyDescent="0.25">
      <c r="B55" s="4" t="s">
        <v>45</v>
      </c>
      <c r="C55" s="21">
        <v>229</v>
      </c>
      <c r="D55" s="27">
        <f t="shared" si="0"/>
        <v>7.5933996446023696E-3</v>
      </c>
      <c r="E55" s="27">
        <f t="shared" si="1"/>
        <v>98.81383802582215</v>
      </c>
    </row>
    <row r="56" spans="2:5" ht="15" customHeight="1" x14ac:dyDescent="0.25">
      <c r="B56" s="19" t="s">
        <v>284</v>
      </c>
      <c r="C56" s="24">
        <v>180</v>
      </c>
      <c r="D56" s="30">
        <f t="shared" si="0"/>
        <v>5.9686110743599405E-3</v>
      </c>
      <c r="E56" s="30">
        <f t="shared" si="1"/>
        <v>98.819806636896516</v>
      </c>
    </row>
    <row r="57" spans="2:5" ht="15" customHeight="1" x14ac:dyDescent="0.25">
      <c r="B57" s="4" t="s">
        <v>283</v>
      </c>
      <c r="C57" s="21">
        <v>99</v>
      </c>
      <c r="D57" s="27">
        <f t="shared" si="0"/>
        <v>3.2827360908979672E-3</v>
      </c>
      <c r="E57" s="27">
        <f t="shared" si="1"/>
        <v>98.823089372987411</v>
      </c>
    </row>
    <row r="58" spans="2:5" ht="15" customHeight="1" x14ac:dyDescent="0.25">
      <c r="B58" s="19" t="s">
        <v>5</v>
      </c>
      <c r="C58" s="24">
        <v>96</v>
      </c>
      <c r="D58" s="30">
        <f t="shared" si="0"/>
        <v>3.1832592396586349E-3</v>
      </c>
      <c r="E58" s="30">
        <f t="shared" si="1"/>
        <v>98.826272632227074</v>
      </c>
    </row>
    <row r="59" spans="2:5" ht="15" customHeight="1" x14ac:dyDescent="0.25">
      <c r="B59" s="4" t="s">
        <v>26</v>
      </c>
      <c r="C59" s="21">
        <v>50</v>
      </c>
      <c r="D59" s="27">
        <f t="shared" si="0"/>
        <v>1.6579475206555392E-3</v>
      </c>
      <c r="E59" s="27">
        <f t="shared" si="1"/>
        <v>98.827930579747729</v>
      </c>
    </row>
    <row r="60" spans="2:5" ht="15" customHeight="1" x14ac:dyDescent="0.25">
      <c r="B60" s="19" t="s">
        <v>15</v>
      </c>
      <c r="C60" s="24">
        <v>42</v>
      </c>
      <c r="D60" s="30">
        <f t="shared" si="0"/>
        <v>1.3926759173506528E-3</v>
      </c>
      <c r="E60" s="30">
        <f t="shared" si="1"/>
        <v>98.829323255665074</v>
      </c>
    </row>
    <row r="61" spans="2:5" ht="15" customHeight="1" x14ac:dyDescent="0.25">
      <c r="B61" s="4" t="s">
        <v>64</v>
      </c>
      <c r="C61" s="21">
        <v>35305</v>
      </c>
      <c r="D61" s="27">
        <f t="shared" si="0"/>
        <v>1.1706767443348762</v>
      </c>
      <c r="E61" s="27">
        <f t="shared" si="1"/>
        <v>99.999999999999943</v>
      </c>
    </row>
    <row r="62" spans="2:5" ht="30" customHeight="1" x14ac:dyDescent="0.25">
      <c r="B62" s="25" t="s">
        <v>10</v>
      </c>
      <c r="C62" s="26">
        <v>3015777</v>
      </c>
      <c r="D62" s="50">
        <f t="shared" si="0"/>
        <v>100</v>
      </c>
      <c r="E62" s="50" t="s">
        <v>68</v>
      </c>
    </row>
    <row r="63" spans="2:5" ht="30" customHeight="1" x14ac:dyDescent="0.25">
      <c r="B63" s="48" t="s">
        <v>69</v>
      </c>
      <c r="C63" s="49">
        <v>2622437</v>
      </c>
      <c r="D63" s="54">
        <f t="shared" si="0"/>
        <v>86.957258444507005</v>
      </c>
      <c r="E63" s="54" t="s">
        <v>68</v>
      </c>
    </row>
    <row r="64" spans="2:5" ht="15" customHeight="1" x14ac:dyDescent="0.25">
      <c r="B64" s="45" t="s">
        <v>70</v>
      </c>
      <c r="C64" s="46">
        <v>316539</v>
      </c>
      <c r="D64" s="50">
        <f t="shared" si="0"/>
        <v>10.496101004815674</v>
      </c>
      <c r="E64" s="50" t="s">
        <v>68</v>
      </c>
    </row>
    <row r="65" spans="1:7" ht="15" customHeight="1" x14ac:dyDescent="0.25">
      <c r="B65" s="45" t="s">
        <v>71</v>
      </c>
      <c r="C65" s="46">
        <v>1693353</v>
      </c>
      <c r="D65" s="50">
        <f t="shared" si="0"/>
        <v>56.149808158892391</v>
      </c>
      <c r="E65" s="50" t="s">
        <v>68</v>
      </c>
    </row>
    <row r="66" spans="1:7" ht="30" customHeight="1" thickBot="1" x14ac:dyDescent="0.3">
      <c r="B66" s="51" t="s">
        <v>72</v>
      </c>
      <c r="C66" s="52">
        <v>1512615</v>
      </c>
      <c r="D66" s="53">
        <f t="shared" si="0"/>
        <v>50.156725779127562</v>
      </c>
      <c r="E66" s="53" t="s">
        <v>68</v>
      </c>
    </row>
    <row r="67" spans="1:7" ht="15" customHeight="1" x14ac:dyDescent="0.25">
      <c r="B67" s="5"/>
      <c r="C67" s="6"/>
      <c r="D67" s="6"/>
      <c r="E67" s="6"/>
    </row>
    <row r="68" spans="1:7" ht="15" customHeight="1" x14ac:dyDescent="0.25">
      <c r="A68" s="123" t="s">
        <v>63</v>
      </c>
      <c r="B68" s="409" t="s">
        <v>326</v>
      </c>
      <c r="C68" s="410"/>
      <c r="D68" s="410"/>
      <c r="E68" s="410"/>
      <c r="F68" s="1"/>
      <c r="G68" s="1"/>
    </row>
    <row r="69" spans="1:7" s="47" customFormat="1" ht="15" customHeight="1" x14ac:dyDescent="0.25">
      <c r="A69" s="369" t="s">
        <v>282</v>
      </c>
      <c r="B69" s="371" t="s">
        <v>323</v>
      </c>
      <c r="C69" s="367"/>
      <c r="D69" s="368"/>
      <c r="E69" s="368"/>
      <c r="F69" s="113"/>
      <c r="G69" s="113"/>
    </row>
    <row r="70" spans="1:7" s="366" customFormat="1" ht="15" customHeight="1" x14ac:dyDescent="0.25">
      <c r="A70" s="370" t="s">
        <v>4</v>
      </c>
      <c r="B70" s="497" t="s">
        <v>344</v>
      </c>
      <c r="C70" s="408"/>
      <c r="D70" s="365"/>
      <c r="E70" s="365"/>
      <c r="F70" s="361"/>
      <c r="G70" s="361"/>
    </row>
    <row r="71" spans="1:7" ht="15" customHeight="1" x14ac:dyDescent="0.25"/>
    <row r="72" spans="1:7" ht="15" customHeight="1" x14ac:dyDescent="0.25"/>
    <row r="73" spans="1:7" ht="15" customHeight="1" x14ac:dyDescent="0.25"/>
    <row r="74" spans="1:7" ht="15" customHeight="1" x14ac:dyDescent="0.25"/>
    <row r="75" spans="1:7" ht="15" customHeight="1" x14ac:dyDescent="0.25"/>
    <row r="76" spans="1:7" ht="15" customHeight="1" x14ac:dyDescent="0.25"/>
    <row r="77" spans="1:7" ht="15" customHeight="1" x14ac:dyDescent="0.25"/>
    <row r="78" spans="1:7" ht="15" customHeight="1" x14ac:dyDescent="0.25"/>
    <row r="79" spans="1:7" ht="15" customHeight="1" x14ac:dyDescent="0.25"/>
    <row r="80" spans="1:7"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sheetData>
  <mergeCells count="4">
    <mergeCell ref="B2:E2"/>
    <mergeCell ref="B3:E3"/>
    <mergeCell ref="B70:C70"/>
    <mergeCell ref="B68:E68"/>
  </mergeCells>
  <hyperlinks>
    <hyperlink ref="E1" location="Índice!A1" display="[índice Ç]"/>
    <hyperlink ref="B70"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topLeftCell="A58" zoomScaleNormal="100" workbookViewId="0">
      <selection activeCell="D70" sqref="D70"/>
    </sheetView>
  </sheetViews>
  <sheetFormatPr defaultColWidth="8.7109375" defaultRowHeight="12" customHeight="1" x14ac:dyDescent="0.25"/>
  <cols>
    <col min="1" max="1" width="12.7109375" style="1" customWidth="1"/>
    <col min="2" max="2" width="24.7109375" style="1" customWidth="1"/>
    <col min="3" max="5" width="16.7109375" style="15" customWidth="1"/>
    <col min="6" max="6" width="8.7109375" style="1"/>
    <col min="8" max="16384" width="8.7109375" style="1"/>
  </cols>
  <sheetData>
    <row r="1" spans="1:9" ht="30" customHeight="1" x14ac:dyDescent="0.25">
      <c r="A1" s="100" t="s">
        <v>0</v>
      </c>
      <c r="B1" s="216" t="s">
        <v>1</v>
      </c>
      <c r="C1" s="376"/>
      <c r="D1" s="376"/>
      <c r="E1" s="228" t="s">
        <v>269</v>
      </c>
    </row>
    <row r="2" spans="1:9" ht="45" customHeight="1" x14ac:dyDescent="0.25">
      <c r="B2" s="404" t="s">
        <v>277</v>
      </c>
      <c r="C2" s="411"/>
      <c r="D2" s="411"/>
      <c r="E2" s="411"/>
    </row>
    <row r="3" spans="1:9" ht="15" customHeight="1" thickBot="1" x14ac:dyDescent="0.3">
      <c r="B3" s="406" t="s">
        <v>61</v>
      </c>
      <c r="C3" s="407"/>
      <c r="D3" s="407"/>
      <c r="E3" s="407"/>
      <c r="I3" s="226"/>
    </row>
    <row r="4" spans="1:9" ht="45" customHeight="1" x14ac:dyDescent="0.25">
      <c r="B4" s="20" t="s">
        <v>62</v>
      </c>
      <c r="C4" s="17" t="s">
        <v>65</v>
      </c>
      <c r="D4" s="17" t="s">
        <v>66</v>
      </c>
      <c r="E4" s="18" t="s">
        <v>67</v>
      </c>
    </row>
    <row r="5" spans="1:9" ht="15" customHeight="1" x14ac:dyDescent="0.25">
      <c r="B5" s="4" t="s">
        <v>20</v>
      </c>
      <c r="C5" s="21">
        <v>253250</v>
      </c>
      <c r="D5" s="27">
        <f>C5/C$62*100</f>
        <v>45.544956873916455</v>
      </c>
      <c r="E5" s="27">
        <f>D5</f>
        <v>45.544956873916455</v>
      </c>
    </row>
    <row r="6" spans="1:9" ht="15" customHeight="1" x14ac:dyDescent="0.25">
      <c r="B6" s="5" t="s">
        <v>24</v>
      </c>
      <c r="C6" s="22">
        <v>78204</v>
      </c>
      <c r="D6" s="28">
        <f t="shared" ref="D6:D66" si="0">C6/C$62*100</f>
        <v>14.064354619418607</v>
      </c>
      <c r="E6" s="28">
        <f>D6+E5</f>
        <v>59.609311493335063</v>
      </c>
    </row>
    <row r="7" spans="1:9" ht="15" customHeight="1" x14ac:dyDescent="0.25">
      <c r="B7" s="4" t="s">
        <v>59</v>
      </c>
      <c r="C7" s="21">
        <v>31321</v>
      </c>
      <c r="D7" s="27">
        <f t="shared" si="0"/>
        <v>5.6328276179582906</v>
      </c>
      <c r="E7" s="27">
        <f t="shared" ref="E7:E61" si="1">D7+E6</f>
        <v>65.242139111293355</v>
      </c>
    </row>
    <row r="8" spans="1:9" ht="15" customHeight="1" x14ac:dyDescent="0.25">
      <c r="B8" s="5" t="s">
        <v>34</v>
      </c>
      <c r="C8" s="22">
        <v>20145</v>
      </c>
      <c r="D8" s="28">
        <f t="shared" si="0"/>
        <v>3.6229147333664247</v>
      </c>
      <c r="E8" s="28">
        <f t="shared" si="1"/>
        <v>68.865053844659784</v>
      </c>
    </row>
    <row r="9" spans="1:9" ht="15" customHeight="1" x14ac:dyDescent="0.25">
      <c r="B9" s="4" t="s">
        <v>13</v>
      </c>
      <c r="C9" s="21">
        <v>18847</v>
      </c>
      <c r="D9" s="27">
        <f t="shared" si="0"/>
        <v>3.3894799692110698</v>
      </c>
      <c r="E9" s="27">
        <f t="shared" si="1"/>
        <v>72.25453381387085</v>
      </c>
    </row>
    <row r="10" spans="1:9" ht="15" customHeight="1" x14ac:dyDescent="0.25">
      <c r="B10" s="7" t="s">
        <v>53</v>
      </c>
      <c r="C10" s="23">
        <v>15764</v>
      </c>
      <c r="D10" s="29">
        <f t="shared" si="0"/>
        <v>2.8350274438713483</v>
      </c>
      <c r="E10" s="29">
        <f t="shared" si="1"/>
        <v>75.089561257742204</v>
      </c>
    </row>
    <row r="11" spans="1:9" ht="15" customHeight="1" x14ac:dyDescent="0.25">
      <c r="B11" s="4" t="s">
        <v>30</v>
      </c>
      <c r="C11" s="21">
        <v>15237</v>
      </c>
      <c r="D11" s="27">
        <f t="shared" si="0"/>
        <v>2.7402507715216782</v>
      </c>
      <c r="E11" s="27">
        <f t="shared" si="1"/>
        <v>77.829812029263877</v>
      </c>
    </row>
    <row r="12" spans="1:9" ht="15" customHeight="1" x14ac:dyDescent="0.25">
      <c r="B12" s="5" t="s">
        <v>22</v>
      </c>
      <c r="C12" s="22">
        <v>13130</v>
      </c>
      <c r="D12" s="28">
        <f t="shared" si="0"/>
        <v>2.361323924006014</v>
      </c>
      <c r="E12" s="28">
        <f t="shared" si="1"/>
        <v>80.191135953269892</v>
      </c>
    </row>
    <row r="13" spans="1:9" ht="15" customHeight="1" x14ac:dyDescent="0.25">
      <c r="B13" s="4" t="s">
        <v>50</v>
      </c>
      <c r="C13" s="21">
        <v>10015</v>
      </c>
      <c r="D13" s="27">
        <f t="shared" si="0"/>
        <v>1.8011164584097663</v>
      </c>
      <c r="E13" s="27">
        <f t="shared" si="1"/>
        <v>81.992252411679658</v>
      </c>
    </row>
    <row r="14" spans="1:9" ht="15" customHeight="1" x14ac:dyDescent="0.25">
      <c r="B14" s="5" t="s">
        <v>31</v>
      </c>
      <c r="C14" s="22">
        <v>7139</v>
      </c>
      <c r="D14" s="28">
        <f t="shared" si="0"/>
        <v>1.2838912028544505</v>
      </c>
      <c r="E14" s="28">
        <f t="shared" si="1"/>
        <v>83.276143614534107</v>
      </c>
    </row>
    <row r="15" spans="1:9" ht="15" customHeight="1" x14ac:dyDescent="0.25">
      <c r="B15" s="4" t="s">
        <v>6</v>
      </c>
      <c r="C15" s="21">
        <v>6656</v>
      </c>
      <c r="D15" s="27">
        <f t="shared" si="0"/>
        <v>1.197027573357504</v>
      </c>
      <c r="E15" s="27">
        <f t="shared" si="1"/>
        <v>84.473171187891609</v>
      </c>
    </row>
    <row r="16" spans="1:9" ht="15" customHeight="1" x14ac:dyDescent="0.25">
      <c r="B16" s="5" t="s">
        <v>7</v>
      </c>
      <c r="C16" s="22">
        <v>6635</v>
      </c>
      <c r="D16" s="28">
        <f t="shared" si="0"/>
        <v>1.1932508938141586</v>
      </c>
      <c r="E16" s="28">
        <f t="shared" si="1"/>
        <v>85.666422081705761</v>
      </c>
    </row>
    <row r="17" spans="2:5" ht="15" customHeight="1" x14ac:dyDescent="0.25">
      <c r="B17" s="4" t="s">
        <v>21</v>
      </c>
      <c r="C17" s="21">
        <v>5678</v>
      </c>
      <c r="D17" s="27">
        <f t="shared" si="0"/>
        <v>1.021142211767414</v>
      </c>
      <c r="E17" s="27">
        <f t="shared" si="1"/>
        <v>86.687564293473173</v>
      </c>
    </row>
    <row r="18" spans="2:5" ht="15" customHeight="1" x14ac:dyDescent="0.25">
      <c r="B18" s="5" t="s">
        <v>48</v>
      </c>
      <c r="C18" s="22">
        <v>5037</v>
      </c>
      <c r="D18" s="28">
        <f t="shared" si="0"/>
        <v>0.90586356475386842</v>
      </c>
      <c r="E18" s="28">
        <f t="shared" si="1"/>
        <v>87.593427858227045</v>
      </c>
    </row>
    <row r="19" spans="2:5" ht="15" customHeight="1" x14ac:dyDescent="0.25">
      <c r="B19" s="4" t="s">
        <v>54</v>
      </c>
      <c r="C19" s="21">
        <v>4641</v>
      </c>
      <c r="D19" s="27">
        <f t="shared" si="0"/>
        <v>0.83464617907935346</v>
      </c>
      <c r="E19" s="27">
        <f t="shared" si="1"/>
        <v>88.428074037306402</v>
      </c>
    </row>
    <row r="20" spans="2:5" ht="15" customHeight="1" x14ac:dyDescent="0.25">
      <c r="B20" s="5" t="s">
        <v>12</v>
      </c>
      <c r="C20" s="22">
        <v>4163</v>
      </c>
      <c r="D20" s="28">
        <f t="shared" si="0"/>
        <v>0.74868175899748945</v>
      </c>
      <c r="E20" s="28">
        <f t="shared" si="1"/>
        <v>89.176755796303894</v>
      </c>
    </row>
    <row r="21" spans="2:5" ht="15" customHeight="1" x14ac:dyDescent="0.25">
      <c r="B21" s="4" t="s">
        <v>57</v>
      </c>
      <c r="C21" s="21">
        <v>3846</v>
      </c>
      <c r="D21" s="27">
        <f t="shared" si="0"/>
        <v>0.69167188208127417</v>
      </c>
      <c r="E21" s="27">
        <f t="shared" si="1"/>
        <v>89.868427678385174</v>
      </c>
    </row>
    <row r="22" spans="2:5" ht="15" customHeight="1" x14ac:dyDescent="0.25">
      <c r="B22" s="19" t="s">
        <v>44</v>
      </c>
      <c r="C22" s="24">
        <v>3688</v>
      </c>
      <c r="D22" s="30">
        <f t="shared" si="0"/>
        <v>0.6632568645646747</v>
      </c>
      <c r="E22" s="30">
        <f t="shared" si="1"/>
        <v>90.531684542949847</v>
      </c>
    </row>
    <row r="23" spans="2:5" ht="15" customHeight="1" x14ac:dyDescent="0.25">
      <c r="B23" s="4" t="s">
        <v>8</v>
      </c>
      <c r="C23" s="21">
        <v>3489</v>
      </c>
      <c r="D23" s="27">
        <f t="shared" si="0"/>
        <v>0.62746832984440082</v>
      </c>
      <c r="E23" s="27">
        <f t="shared" si="1"/>
        <v>91.159152872794252</v>
      </c>
    </row>
    <row r="24" spans="2:5" ht="15" customHeight="1" x14ac:dyDescent="0.25">
      <c r="B24" s="19" t="s">
        <v>23</v>
      </c>
      <c r="C24" s="24">
        <v>3453</v>
      </c>
      <c r="D24" s="30">
        <f t="shared" si="0"/>
        <v>0.62099402205580856</v>
      </c>
      <c r="E24" s="30">
        <f t="shared" si="1"/>
        <v>91.780146894850063</v>
      </c>
    </row>
    <row r="25" spans="2:5" ht="15" customHeight="1" x14ac:dyDescent="0.25">
      <c r="B25" s="4" t="s">
        <v>36</v>
      </c>
      <c r="C25" s="21">
        <v>2610</v>
      </c>
      <c r="D25" s="27">
        <f t="shared" si="0"/>
        <v>0.46938731467293954</v>
      </c>
      <c r="E25" s="27">
        <f t="shared" si="1"/>
        <v>92.249534209523006</v>
      </c>
    </row>
    <row r="26" spans="2:5" ht="15" customHeight="1" x14ac:dyDescent="0.25">
      <c r="B26" s="19" t="s">
        <v>39</v>
      </c>
      <c r="C26" s="24">
        <v>2447</v>
      </c>
      <c r="D26" s="30">
        <f t="shared" si="0"/>
        <v>0.44007308774125786</v>
      </c>
      <c r="E26" s="30">
        <f t="shared" si="1"/>
        <v>92.68960729726426</v>
      </c>
    </row>
    <row r="27" spans="2:5" ht="15" customHeight="1" x14ac:dyDescent="0.25">
      <c r="B27" s="4" t="s">
        <v>42</v>
      </c>
      <c r="C27" s="21">
        <v>2415</v>
      </c>
      <c r="D27" s="27">
        <f t="shared" si="0"/>
        <v>0.43431814748473141</v>
      </c>
      <c r="E27" s="27">
        <f t="shared" si="1"/>
        <v>93.123925444748991</v>
      </c>
    </row>
    <row r="28" spans="2:5" ht="15" customHeight="1" x14ac:dyDescent="0.25">
      <c r="B28" s="19" t="s">
        <v>37</v>
      </c>
      <c r="C28" s="24">
        <v>1733</v>
      </c>
      <c r="D28" s="30">
        <f t="shared" si="0"/>
        <v>0.31166598326751122</v>
      </c>
      <c r="E28" s="30">
        <f t="shared" si="1"/>
        <v>93.435591428016508</v>
      </c>
    </row>
    <row r="29" spans="2:5" ht="15" customHeight="1" x14ac:dyDescent="0.25">
      <c r="B29" s="4" t="s">
        <v>19</v>
      </c>
      <c r="C29" s="21">
        <v>1566</v>
      </c>
      <c r="D29" s="27">
        <f t="shared" si="0"/>
        <v>0.28163238880376373</v>
      </c>
      <c r="E29" s="27">
        <f t="shared" si="1"/>
        <v>93.717223816820265</v>
      </c>
    </row>
    <row r="30" spans="2:5" ht="15" customHeight="1" x14ac:dyDescent="0.25">
      <c r="B30" s="19" t="s">
        <v>51</v>
      </c>
      <c r="C30" s="24">
        <v>1560</v>
      </c>
      <c r="D30" s="30">
        <f t="shared" si="0"/>
        <v>0.28055333750566502</v>
      </c>
      <c r="E30" s="30">
        <f t="shared" si="1"/>
        <v>93.997777154325931</v>
      </c>
    </row>
    <row r="31" spans="2:5" ht="15" customHeight="1" x14ac:dyDescent="0.25">
      <c r="B31" s="4" t="s">
        <v>46</v>
      </c>
      <c r="C31" s="21">
        <v>1449</v>
      </c>
      <c r="D31" s="27">
        <f t="shared" si="0"/>
        <v>0.26059088849083883</v>
      </c>
      <c r="E31" s="27">
        <f t="shared" si="1"/>
        <v>94.25836804281677</v>
      </c>
    </row>
    <row r="32" spans="2:5" ht="15" customHeight="1" x14ac:dyDescent="0.25">
      <c r="B32" s="19" t="s">
        <v>38</v>
      </c>
      <c r="C32" s="24">
        <v>1352</v>
      </c>
      <c r="D32" s="30">
        <f t="shared" si="0"/>
        <v>0.24314622583824302</v>
      </c>
      <c r="E32" s="30">
        <f t="shared" si="1"/>
        <v>94.501514268655015</v>
      </c>
    </row>
    <row r="33" spans="2:5" ht="15" customHeight="1" x14ac:dyDescent="0.25">
      <c r="B33" s="4" t="s">
        <v>32</v>
      </c>
      <c r="C33" s="21">
        <v>1297</v>
      </c>
      <c r="D33" s="27">
        <f t="shared" si="0"/>
        <v>0.23325492227233816</v>
      </c>
      <c r="E33" s="27">
        <f t="shared" si="1"/>
        <v>94.734769190927352</v>
      </c>
    </row>
    <row r="34" spans="2:5" ht="15" customHeight="1" x14ac:dyDescent="0.25">
      <c r="B34" s="19" t="s">
        <v>28</v>
      </c>
      <c r="C34" s="24">
        <v>1137</v>
      </c>
      <c r="D34" s="30">
        <f t="shared" si="0"/>
        <v>0.20448022098970586</v>
      </c>
      <c r="E34" s="30">
        <f t="shared" si="1"/>
        <v>94.939249411917061</v>
      </c>
    </row>
    <row r="35" spans="2:5" ht="15" customHeight="1" x14ac:dyDescent="0.25">
      <c r="B35" s="4" t="s">
        <v>55</v>
      </c>
      <c r="C35" s="21">
        <v>986</v>
      </c>
      <c r="D35" s="27">
        <f t="shared" si="0"/>
        <v>0.17732409665422161</v>
      </c>
      <c r="E35" s="27">
        <f t="shared" si="1"/>
        <v>95.116573508571278</v>
      </c>
    </row>
    <row r="36" spans="2:5" ht="15" customHeight="1" x14ac:dyDescent="0.25">
      <c r="B36" s="19" t="s">
        <v>29</v>
      </c>
      <c r="C36" s="24">
        <v>868</v>
      </c>
      <c r="D36" s="30">
        <f t="shared" si="0"/>
        <v>0.15610275445828029</v>
      </c>
      <c r="E36" s="30">
        <f t="shared" si="1"/>
        <v>95.272676263029553</v>
      </c>
    </row>
    <row r="37" spans="2:5" ht="15" customHeight="1" x14ac:dyDescent="0.25">
      <c r="B37" s="4" t="s">
        <v>45</v>
      </c>
      <c r="C37" s="21">
        <v>866</v>
      </c>
      <c r="D37" s="27">
        <f t="shared" si="0"/>
        <v>0.15574307069224738</v>
      </c>
      <c r="E37" s="27">
        <f t="shared" si="1"/>
        <v>95.428419333721806</v>
      </c>
    </row>
    <row r="38" spans="2:5" ht="15" customHeight="1" x14ac:dyDescent="0.25">
      <c r="B38" s="19" t="s">
        <v>284</v>
      </c>
      <c r="C38" s="24">
        <v>662</v>
      </c>
      <c r="D38" s="30">
        <f t="shared" si="0"/>
        <v>0.11905532655689118</v>
      </c>
      <c r="E38" s="30">
        <f t="shared" si="1"/>
        <v>95.547474660278695</v>
      </c>
    </row>
    <row r="39" spans="2:5" ht="15" customHeight="1" x14ac:dyDescent="0.25">
      <c r="B39" s="4" t="s">
        <v>60</v>
      </c>
      <c r="C39" s="21">
        <v>574</v>
      </c>
      <c r="D39" s="27">
        <f t="shared" si="0"/>
        <v>0.1032292408514434</v>
      </c>
      <c r="E39" s="27">
        <f t="shared" si="1"/>
        <v>95.650703901130143</v>
      </c>
    </row>
    <row r="40" spans="2:5" ht="15" customHeight="1" x14ac:dyDescent="0.25">
      <c r="B40" s="19" t="s">
        <v>17</v>
      </c>
      <c r="C40" s="24">
        <v>484</v>
      </c>
      <c r="D40" s="30">
        <f t="shared" si="0"/>
        <v>8.7043471379962739E-2</v>
      </c>
      <c r="E40" s="30">
        <f t="shared" si="1"/>
        <v>95.7377473725101</v>
      </c>
    </row>
    <row r="41" spans="2:5" ht="15" customHeight="1" x14ac:dyDescent="0.25">
      <c r="B41" s="4" t="s">
        <v>11</v>
      </c>
      <c r="C41" s="21">
        <v>480</v>
      </c>
      <c r="D41" s="27">
        <f t="shared" si="0"/>
        <v>8.6324103847896932E-2</v>
      </c>
      <c r="E41" s="27">
        <f t="shared" si="1"/>
        <v>95.824071476358</v>
      </c>
    </row>
    <row r="42" spans="2:5" ht="15" customHeight="1" x14ac:dyDescent="0.25">
      <c r="B42" s="19" t="s">
        <v>26</v>
      </c>
      <c r="C42" s="24">
        <v>423</v>
      </c>
      <c r="D42" s="30">
        <f t="shared" si="0"/>
        <v>7.6073116515959174E-2</v>
      </c>
      <c r="E42" s="30">
        <f t="shared" si="1"/>
        <v>95.900144592873957</v>
      </c>
    </row>
    <row r="43" spans="2:5" ht="15" customHeight="1" x14ac:dyDescent="0.25">
      <c r="B43" s="4" t="s">
        <v>58</v>
      </c>
      <c r="C43" s="21">
        <v>341</v>
      </c>
      <c r="D43" s="27">
        <f t="shared" si="0"/>
        <v>6.1326082108610118E-2</v>
      </c>
      <c r="E43" s="27">
        <f t="shared" si="1"/>
        <v>95.961470674982564</v>
      </c>
    </row>
    <row r="44" spans="2:5" ht="15" customHeight="1" x14ac:dyDescent="0.25">
      <c r="B44" s="19" t="s">
        <v>35</v>
      </c>
      <c r="C44" s="24">
        <v>281</v>
      </c>
      <c r="D44" s="30">
        <f t="shared" si="0"/>
        <v>5.0535569127622991E-2</v>
      </c>
      <c r="E44" s="30">
        <f t="shared" si="1"/>
        <v>96.012006244110182</v>
      </c>
    </row>
    <row r="45" spans="2:5" ht="15" customHeight="1" x14ac:dyDescent="0.25">
      <c r="B45" s="4" t="s">
        <v>40</v>
      </c>
      <c r="C45" s="21">
        <v>267</v>
      </c>
      <c r="D45" s="27">
        <f t="shared" si="0"/>
        <v>4.8017782765392668E-2</v>
      </c>
      <c r="E45" s="27">
        <f t="shared" si="1"/>
        <v>96.060024026875581</v>
      </c>
    </row>
    <row r="46" spans="2:5" ht="15" customHeight="1" x14ac:dyDescent="0.25">
      <c r="B46" s="19" t="s">
        <v>49</v>
      </c>
      <c r="C46" s="24">
        <v>237</v>
      </c>
      <c r="D46" s="30">
        <f t="shared" si="0"/>
        <v>4.2622526274899111E-2</v>
      </c>
      <c r="E46" s="30">
        <f t="shared" si="1"/>
        <v>96.102646553150478</v>
      </c>
    </row>
    <row r="47" spans="2:5" ht="15" customHeight="1" x14ac:dyDescent="0.25">
      <c r="B47" s="4" t="s">
        <v>15</v>
      </c>
      <c r="C47" s="21">
        <v>220</v>
      </c>
      <c r="D47" s="27">
        <f t="shared" si="0"/>
        <v>3.9565214263619426E-2</v>
      </c>
      <c r="E47" s="27">
        <f t="shared" si="1"/>
        <v>96.142211767414096</v>
      </c>
    </row>
    <row r="48" spans="2:5" ht="15" customHeight="1" x14ac:dyDescent="0.25">
      <c r="B48" s="19" t="s">
        <v>18</v>
      </c>
      <c r="C48" s="24">
        <v>220</v>
      </c>
      <c r="D48" s="30">
        <f t="shared" si="0"/>
        <v>3.9565214263619426E-2</v>
      </c>
      <c r="E48" s="30">
        <f t="shared" si="1"/>
        <v>96.181776981677714</v>
      </c>
    </row>
    <row r="49" spans="2:5" ht="15" customHeight="1" x14ac:dyDescent="0.25">
      <c r="B49" s="4" t="s">
        <v>56</v>
      </c>
      <c r="C49" s="21">
        <v>169</v>
      </c>
      <c r="D49" s="27">
        <f t="shared" si="0"/>
        <v>3.0393278229780378E-2</v>
      </c>
      <c r="E49" s="27">
        <f t="shared" si="1"/>
        <v>96.212170259907495</v>
      </c>
    </row>
    <row r="50" spans="2:5" ht="15" customHeight="1" x14ac:dyDescent="0.25">
      <c r="B50" s="19" t="s">
        <v>27</v>
      </c>
      <c r="C50" s="24">
        <v>162</v>
      </c>
      <c r="D50" s="30">
        <f t="shared" si="0"/>
        <v>2.9134385048665213E-2</v>
      </c>
      <c r="E50" s="30">
        <f t="shared" si="1"/>
        <v>96.241304644956159</v>
      </c>
    </row>
    <row r="51" spans="2:5" ht="15" customHeight="1" x14ac:dyDescent="0.25">
      <c r="B51" s="4" t="s">
        <v>52</v>
      </c>
      <c r="C51" s="21">
        <v>160</v>
      </c>
      <c r="D51" s="27">
        <f t="shared" si="0"/>
        <v>2.877470128263231E-2</v>
      </c>
      <c r="E51" s="27">
        <f t="shared" si="1"/>
        <v>96.270079346238788</v>
      </c>
    </row>
    <row r="52" spans="2:5" ht="15" customHeight="1" x14ac:dyDescent="0.25">
      <c r="B52" s="19" t="s">
        <v>16</v>
      </c>
      <c r="C52" s="24">
        <v>158</v>
      </c>
      <c r="D52" s="30">
        <f t="shared" si="0"/>
        <v>2.8415017516599406E-2</v>
      </c>
      <c r="E52" s="30">
        <f t="shared" si="1"/>
        <v>96.298494363755381</v>
      </c>
    </row>
    <row r="53" spans="2:5" ht="15" customHeight="1" x14ac:dyDescent="0.25">
      <c r="B53" s="4" t="s">
        <v>33</v>
      </c>
      <c r="C53" s="21">
        <v>78</v>
      </c>
      <c r="D53" s="27">
        <f t="shared" si="0"/>
        <v>1.4027666875283252E-2</v>
      </c>
      <c r="E53" s="27">
        <f t="shared" si="1"/>
        <v>96.31252203063066</v>
      </c>
    </row>
    <row r="54" spans="2:5" ht="15" customHeight="1" x14ac:dyDescent="0.25">
      <c r="B54" s="19" t="s">
        <v>25</v>
      </c>
      <c r="C54" s="24">
        <v>42</v>
      </c>
      <c r="D54" s="30">
        <f t="shared" si="0"/>
        <v>7.5533590866909816E-3</v>
      </c>
      <c r="E54" s="30">
        <f t="shared" si="1"/>
        <v>96.320075389717346</v>
      </c>
    </row>
    <row r="55" spans="2:5" ht="15" customHeight="1" x14ac:dyDescent="0.25">
      <c r="B55" s="4" t="s">
        <v>47</v>
      </c>
      <c r="C55" s="21">
        <v>40</v>
      </c>
      <c r="D55" s="27">
        <f t="shared" si="0"/>
        <v>7.1936753206580774E-3</v>
      </c>
      <c r="E55" s="27">
        <f t="shared" si="1"/>
        <v>96.32726906503801</v>
      </c>
    </row>
    <row r="56" spans="2:5" ht="15" customHeight="1" x14ac:dyDescent="0.25">
      <c r="B56" s="19" t="s">
        <v>283</v>
      </c>
      <c r="C56" s="24">
        <v>38</v>
      </c>
      <c r="D56" s="30">
        <f t="shared" si="0"/>
        <v>6.8339915546251741E-3</v>
      </c>
      <c r="E56" s="30">
        <f t="shared" si="1"/>
        <v>96.334103056592639</v>
      </c>
    </row>
    <row r="57" spans="2:5" ht="15" customHeight="1" x14ac:dyDescent="0.25">
      <c r="B57" s="4" t="s">
        <v>43</v>
      </c>
      <c r="C57" s="21">
        <v>27</v>
      </c>
      <c r="D57" s="27">
        <f t="shared" si="0"/>
        <v>4.8557308414442025E-3</v>
      </c>
      <c r="E57" s="27">
        <f t="shared" si="1"/>
        <v>96.33895878743408</v>
      </c>
    </row>
    <row r="58" spans="2:5" ht="15" customHeight="1" x14ac:dyDescent="0.25">
      <c r="B58" s="19" t="s">
        <v>41</v>
      </c>
      <c r="C58" s="24">
        <v>23</v>
      </c>
      <c r="D58" s="30">
        <f t="shared" si="0"/>
        <v>4.1363633093783941E-3</v>
      </c>
      <c r="E58" s="30">
        <f t="shared" si="1"/>
        <v>96.343095150743466</v>
      </c>
    </row>
    <row r="59" spans="2:5" ht="15" customHeight="1" x14ac:dyDescent="0.25">
      <c r="B59" s="4" t="s">
        <v>5</v>
      </c>
      <c r="C59" s="21">
        <v>12</v>
      </c>
      <c r="D59" s="27">
        <f t="shared" si="0"/>
        <v>2.1581025961974233E-3</v>
      </c>
      <c r="E59" s="27">
        <f t="shared" si="1"/>
        <v>96.345253253339664</v>
      </c>
    </row>
    <row r="60" spans="2:5" ht="15" customHeight="1" x14ac:dyDescent="0.25">
      <c r="B60" s="19" t="s">
        <v>14</v>
      </c>
      <c r="C60" s="24">
        <v>11</v>
      </c>
      <c r="D60" s="30">
        <f t="shared" si="0"/>
        <v>1.9782607131809712E-3</v>
      </c>
      <c r="E60" s="30">
        <f t="shared" si="1"/>
        <v>96.347231514052851</v>
      </c>
    </row>
    <row r="61" spans="2:5" ht="15" customHeight="1" x14ac:dyDescent="0.25">
      <c r="B61" s="4" t="s">
        <v>64</v>
      </c>
      <c r="C61" s="21">
        <v>20311</v>
      </c>
      <c r="D61" s="27">
        <f t="shared" si="0"/>
        <v>3.6527684859471554</v>
      </c>
      <c r="E61" s="27">
        <f t="shared" si="1"/>
        <v>100</v>
      </c>
    </row>
    <row r="62" spans="2:5" ht="30" customHeight="1" x14ac:dyDescent="0.25">
      <c r="B62" s="25" t="s">
        <v>10</v>
      </c>
      <c r="C62" s="26">
        <v>556044</v>
      </c>
      <c r="D62" s="50">
        <f t="shared" si="0"/>
        <v>100</v>
      </c>
      <c r="E62" s="50" t="s">
        <v>68</v>
      </c>
    </row>
    <row r="63" spans="2:5" ht="30" customHeight="1" x14ac:dyDescent="0.25">
      <c r="B63" s="48" t="s">
        <v>69</v>
      </c>
      <c r="C63" s="49">
        <v>85247</v>
      </c>
      <c r="D63" s="54">
        <f t="shared" si="0"/>
        <v>15.330981001503478</v>
      </c>
      <c r="E63" s="54" t="s">
        <v>68</v>
      </c>
    </row>
    <row r="64" spans="2:5" ht="15" customHeight="1" x14ac:dyDescent="0.25">
      <c r="B64" s="45" t="s">
        <v>70</v>
      </c>
      <c r="C64" s="46">
        <v>45587</v>
      </c>
      <c r="D64" s="50">
        <f t="shared" si="0"/>
        <v>8.1984519210709941</v>
      </c>
      <c r="E64" s="50" t="s">
        <v>68</v>
      </c>
    </row>
    <row r="65" spans="1:7" ht="15" customHeight="1" x14ac:dyDescent="0.25">
      <c r="B65" s="45" t="s">
        <v>71</v>
      </c>
      <c r="C65" s="46">
        <v>95819</v>
      </c>
      <c r="D65" s="50">
        <f t="shared" si="0"/>
        <v>17.232269388753409</v>
      </c>
      <c r="E65" s="50" t="s">
        <v>68</v>
      </c>
    </row>
    <row r="66" spans="1:7" ht="30" customHeight="1" thickBot="1" x14ac:dyDescent="0.3">
      <c r="B66" s="51" t="s">
        <v>72</v>
      </c>
      <c r="C66" s="52">
        <v>50937</v>
      </c>
      <c r="D66" s="53">
        <f t="shared" si="0"/>
        <v>9.1606059952090124</v>
      </c>
      <c r="E66" s="53" t="s">
        <v>68</v>
      </c>
    </row>
    <row r="67" spans="1:7" ht="15" customHeight="1" x14ac:dyDescent="0.25">
      <c r="B67" s="5"/>
      <c r="C67" s="6"/>
      <c r="D67" s="6"/>
      <c r="E67" s="6"/>
    </row>
    <row r="68" spans="1:7" ht="15" customHeight="1" x14ac:dyDescent="0.25">
      <c r="A68" s="123" t="s">
        <v>63</v>
      </c>
      <c r="B68" s="409" t="s">
        <v>326</v>
      </c>
      <c r="C68" s="410"/>
      <c r="D68" s="410"/>
      <c r="E68" s="410"/>
      <c r="G68" s="1"/>
    </row>
    <row r="69" spans="1:7" ht="15" customHeight="1" x14ac:dyDescent="0.25">
      <c r="A69" s="369" t="s">
        <v>282</v>
      </c>
      <c r="B69" s="371" t="s">
        <v>323</v>
      </c>
      <c r="C69" s="359"/>
      <c r="F69"/>
    </row>
    <row r="70" spans="1:7" ht="15" customHeight="1" x14ac:dyDescent="0.25">
      <c r="A70" s="370" t="s">
        <v>4</v>
      </c>
      <c r="B70" s="497" t="s">
        <v>344</v>
      </c>
      <c r="C70" s="408"/>
      <c r="F70"/>
    </row>
    <row r="71" spans="1:7" ht="15" customHeight="1" x14ac:dyDescent="0.25"/>
    <row r="72" spans="1:7" ht="15" customHeight="1" x14ac:dyDescent="0.25"/>
    <row r="73" spans="1:7" ht="15" customHeight="1" x14ac:dyDescent="0.25"/>
    <row r="74" spans="1:7" ht="15" customHeight="1" x14ac:dyDescent="0.25"/>
    <row r="75" spans="1:7" ht="15" customHeight="1" x14ac:dyDescent="0.25"/>
    <row r="76" spans="1:7" ht="15" customHeight="1" x14ac:dyDescent="0.25"/>
    <row r="77" spans="1:7" ht="15" customHeight="1" x14ac:dyDescent="0.25"/>
    <row r="78" spans="1:7" ht="15" customHeight="1" x14ac:dyDescent="0.25"/>
    <row r="79" spans="1:7" ht="15" customHeight="1" x14ac:dyDescent="0.25"/>
    <row r="80" spans="1:7"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sheetData>
  <mergeCells count="4">
    <mergeCell ref="B2:E2"/>
    <mergeCell ref="B3:E3"/>
    <mergeCell ref="B70:C70"/>
    <mergeCell ref="B68:E68"/>
  </mergeCells>
  <hyperlinks>
    <hyperlink ref="E1" location="Índice!A1" display="[índice Ç]"/>
    <hyperlink ref="B70"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topLeftCell="A31" zoomScaleNormal="100" workbookViewId="0">
      <selection activeCell="D34" sqref="D34"/>
    </sheetView>
  </sheetViews>
  <sheetFormatPr defaultColWidth="8.7109375" defaultRowHeight="12" customHeight="1" x14ac:dyDescent="0.25"/>
  <cols>
    <col min="1" max="1" width="12.7109375" style="1" customWidth="1"/>
    <col min="2" max="2" width="24.7109375" style="1" customWidth="1"/>
    <col min="3" max="8" width="16.7109375" style="15" customWidth="1"/>
    <col min="9" max="16384" width="8.7109375" style="1"/>
  </cols>
  <sheetData>
    <row r="1" spans="1:14" ht="30" customHeight="1" x14ac:dyDescent="0.25">
      <c r="A1" s="100" t="s">
        <v>0</v>
      </c>
      <c r="B1" s="216" t="s">
        <v>1</v>
      </c>
      <c r="C1" s="376"/>
      <c r="D1" s="376"/>
      <c r="E1" s="16"/>
      <c r="F1" s="16"/>
      <c r="G1" s="16"/>
      <c r="H1" s="228" t="s">
        <v>269</v>
      </c>
    </row>
    <row r="2" spans="1:14" s="47" customFormat="1" ht="30" customHeight="1" x14ac:dyDescent="0.2">
      <c r="B2" s="404" t="s">
        <v>278</v>
      </c>
      <c r="C2" s="411"/>
      <c r="D2" s="411"/>
      <c r="E2" s="411"/>
      <c r="F2" s="411"/>
      <c r="G2" s="411"/>
      <c r="H2" s="411"/>
    </row>
    <row r="3" spans="1:14" ht="15" customHeight="1" thickBot="1" x14ac:dyDescent="0.3">
      <c r="B3" s="406" t="s">
        <v>61</v>
      </c>
      <c r="C3" s="407"/>
      <c r="D3" s="407"/>
      <c r="E3" s="407"/>
      <c r="F3" s="407"/>
      <c r="G3" s="407"/>
      <c r="H3" s="407"/>
    </row>
    <row r="4" spans="1:14" ht="30" customHeight="1" x14ac:dyDescent="0.25">
      <c r="B4" s="415" t="s">
        <v>62</v>
      </c>
      <c r="C4" s="413" t="s">
        <v>320</v>
      </c>
      <c r="D4" s="414"/>
      <c r="E4" s="413" t="s">
        <v>321</v>
      </c>
      <c r="F4" s="414"/>
      <c r="G4" s="417" t="s">
        <v>9</v>
      </c>
      <c r="H4" s="419" t="s">
        <v>73</v>
      </c>
    </row>
    <row r="5" spans="1:14" ht="30" customHeight="1" x14ac:dyDescent="0.25">
      <c r="B5" s="416"/>
      <c r="C5" s="333" t="s">
        <v>65</v>
      </c>
      <c r="D5" s="334" t="s">
        <v>319</v>
      </c>
      <c r="E5" s="333" t="s">
        <v>65</v>
      </c>
      <c r="F5" s="334" t="s">
        <v>319</v>
      </c>
      <c r="G5" s="418"/>
      <c r="H5" s="420"/>
    </row>
    <row r="6" spans="1:14" ht="30" customHeight="1" x14ac:dyDescent="0.2">
      <c r="B6" s="331"/>
      <c r="C6" s="335"/>
      <c r="D6" s="336"/>
      <c r="E6" s="335"/>
      <c r="F6" s="336"/>
      <c r="G6" s="344"/>
      <c r="H6" s="332" t="s">
        <v>77</v>
      </c>
    </row>
    <row r="7" spans="1:14" ht="15" customHeight="1" x14ac:dyDescent="0.25">
      <c r="B7" s="4" t="s">
        <v>34</v>
      </c>
      <c r="C7" s="337">
        <v>894932</v>
      </c>
      <c r="D7" s="352">
        <f>C7/C$25*100</f>
        <v>29.675005811106058</v>
      </c>
      <c r="E7" s="337">
        <v>20145</v>
      </c>
      <c r="F7" s="352">
        <f t="shared" ref="F7:F16" si="0">E7/E$25*100</f>
        <v>3.6229147333664247</v>
      </c>
      <c r="G7" s="345">
        <f>C7-E7</f>
        <v>874787</v>
      </c>
      <c r="H7" s="56">
        <f>C7/E7</f>
        <v>44.424522213948869</v>
      </c>
    </row>
    <row r="8" spans="1:14" ht="15" customHeight="1" x14ac:dyDescent="0.25">
      <c r="B8" s="5" t="s">
        <v>57</v>
      </c>
      <c r="C8" s="338">
        <v>738128</v>
      </c>
      <c r="D8" s="353">
        <f t="shared" ref="D8:D16" si="1">C8/C$25*100</f>
        <v>24.475549750528636</v>
      </c>
      <c r="E8" s="338">
        <v>3846</v>
      </c>
      <c r="F8" s="353">
        <f t="shared" si="0"/>
        <v>0.69167188208127417</v>
      </c>
      <c r="G8" s="346">
        <f t="shared" ref="G8:G16" si="2">C8-E8</f>
        <v>734282</v>
      </c>
      <c r="H8" s="57">
        <f t="shared" ref="H8:H16" si="3">C8/E8</f>
        <v>191.92095683827353</v>
      </c>
    </row>
    <row r="9" spans="1:14" ht="15" customHeight="1" x14ac:dyDescent="0.25">
      <c r="B9" s="4" t="s">
        <v>13</v>
      </c>
      <c r="C9" s="337">
        <v>304328</v>
      </c>
      <c r="D9" s="352">
        <f t="shared" si="1"/>
        <v>10.091197061321179</v>
      </c>
      <c r="E9" s="337">
        <v>18847</v>
      </c>
      <c r="F9" s="352">
        <f t="shared" si="0"/>
        <v>3.3894799692110698</v>
      </c>
      <c r="G9" s="345">
        <f t="shared" si="2"/>
        <v>285481</v>
      </c>
      <c r="H9" s="56">
        <f t="shared" si="3"/>
        <v>16.147291346102829</v>
      </c>
    </row>
    <row r="10" spans="1:14" ht="15" customHeight="1" x14ac:dyDescent="0.25">
      <c r="B10" s="5" t="s">
        <v>12</v>
      </c>
      <c r="C10" s="338">
        <v>197247</v>
      </c>
      <c r="D10" s="353">
        <f t="shared" si="1"/>
        <v>6.5405034921348619</v>
      </c>
      <c r="E10" s="338">
        <v>4163</v>
      </c>
      <c r="F10" s="353">
        <f t="shared" si="0"/>
        <v>0.74868175899748945</v>
      </c>
      <c r="G10" s="346">
        <f t="shared" si="2"/>
        <v>193084</v>
      </c>
      <c r="H10" s="57">
        <f t="shared" si="3"/>
        <v>47.380975258227238</v>
      </c>
    </row>
    <row r="11" spans="1:14" ht="15" customHeight="1" x14ac:dyDescent="0.25">
      <c r="B11" s="4" t="s">
        <v>7</v>
      </c>
      <c r="C11" s="337">
        <v>156227</v>
      </c>
      <c r="D11" s="352">
        <f t="shared" si="1"/>
        <v>5.1803233461890583</v>
      </c>
      <c r="E11" s="337">
        <v>6635</v>
      </c>
      <c r="F11" s="352">
        <f t="shared" si="0"/>
        <v>1.1932508938141586</v>
      </c>
      <c r="G11" s="345">
        <f t="shared" si="2"/>
        <v>149592</v>
      </c>
      <c r="H11" s="56">
        <f t="shared" si="3"/>
        <v>23.545892991710627</v>
      </c>
    </row>
    <row r="12" spans="1:14" ht="15" customHeight="1" x14ac:dyDescent="0.25">
      <c r="B12" s="7" t="s">
        <v>30</v>
      </c>
      <c r="C12" s="339">
        <v>156697</v>
      </c>
      <c r="D12" s="354">
        <f t="shared" si="1"/>
        <v>5.1959080528832207</v>
      </c>
      <c r="E12" s="339">
        <v>15237</v>
      </c>
      <c r="F12" s="354">
        <f t="shared" si="0"/>
        <v>2.7402507715216782</v>
      </c>
      <c r="G12" s="347">
        <f t="shared" si="2"/>
        <v>141460</v>
      </c>
      <c r="H12" s="58">
        <f t="shared" si="3"/>
        <v>10.283979786047123</v>
      </c>
    </row>
    <row r="13" spans="1:14" ht="15" customHeight="1" x14ac:dyDescent="0.25">
      <c r="B13" s="4" t="s">
        <v>31</v>
      </c>
      <c r="C13" s="337">
        <v>140320</v>
      </c>
      <c r="D13" s="352">
        <f t="shared" si="1"/>
        <v>4.6528639219677048</v>
      </c>
      <c r="E13" s="337">
        <v>7139</v>
      </c>
      <c r="F13" s="352">
        <f t="shared" si="0"/>
        <v>1.2838912028544505</v>
      </c>
      <c r="G13" s="345">
        <f t="shared" si="2"/>
        <v>133181</v>
      </c>
      <c r="H13" s="56">
        <f t="shared" si="3"/>
        <v>19.655413923518701</v>
      </c>
    </row>
    <row r="14" spans="1:14" ht="15" customHeight="1" x14ac:dyDescent="0.25">
      <c r="B14" s="5" t="s">
        <v>46</v>
      </c>
      <c r="C14" s="338">
        <v>86937</v>
      </c>
      <c r="D14" s="353">
        <f t="shared" si="1"/>
        <v>2.8827396720646119</v>
      </c>
      <c r="E14" s="338">
        <v>1449</v>
      </c>
      <c r="F14" s="353">
        <f t="shared" si="0"/>
        <v>0.26059088849083883</v>
      </c>
      <c r="G14" s="346">
        <f t="shared" si="2"/>
        <v>85488</v>
      </c>
      <c r="H14" s="57">
        <f t="shared" si="3"/>
        <v>59.997929606625256</v>
      </c>
      <c r="K14"/>
      <c r="L14"/>
      <c r="M14"/>
      <c r="N14"/>
    </row>
    <row r="15" spans="1:14" ht="15" customHeight="1" x14ac:dyDescent="0.25">
      <c r="B15" s="4" t="s">
        <v>19</v>
      </c>
      <c r="C15" s="337">
        <v>67205</v>
      </c>
      <c r="D15" s="352">
        <f t="shared" si="1"/>
        <v>2.2284472625131104</v>
      </c>
      <c r="E15" s="337">
        <v>1566</v>
      </c>
      <c r="F15" s="352">
        <f t="shared" si="0"/>
        <v>0.28163238880376373</v>
      </c>
      <c r="G15" s="345">
        <f t="shared" si="2"/>
        <v>65639</v>
      </c>
      <c r="H15" s="56">
        <f t="shared" si="3"/>
        <v>42.915070242656448</v>
      </c>
      <c r="K15"/>
      <c r="L15"/>
      <c r="M15"/>
      <c r="N15"/>
    </row>
    <row r="16" spans="1:14" ht="15" customHeight="1" x14ac:dyDescent="0.25">
      <c r="B16" s="5" t="s">
        <v>37</v>
      </c>
      <c r="C16" s="338">
        <v>61053</v>
      </c>
      <c r="D16" s="353">
        <f t="shared" si="1"/>
        <v>2.0244533995716525</v>
      </c>
      <c r="E16" s="338">
        <v>1733</v>
      </c>
      <c r="F16" s="353">
        <f t="shared" si="0"/>
        <v>0.31166598326751122</v>
      </c>
      <c r="G16" s="346">
        <f t="shared" si="2"/>
        <v>59320</v>
      </c>
      <c r="H16" s="57">
        <f t="shared" si="3"/>
        <v>35.229659549913443</v>
      </c>
      <c r="K16"/>
      <c r="L16"/>
      <c r="M16"/>
      <c r="N16"/>
    </row>
    <row r="17" spans="1:15" ht="30" customHeight="1" x14ac:dyDescent="0.25">
      <c r="B17" s="5"/>
      <c r="C17" s="338"/>
      <c r="D17" s="353"/>
      <c r="E17" s="338"/>
      <c r="F17" s="353"/>
      <c r="G17" s="346"/>
      <c r="H17" s="63" t="s">
        <v>78</v>
      </c>
      <c r="K17"/>
      <c r="L17"/>
      <c r="M17"/>
      <c r="N17"/>
    </row>
    <row r="18" spans="1:15" ht="15" customHeight="1" x14ac:dyDescent="0.25">
      <c r="B18" s="4" t="s">
        <v>50</v>
      </c>
      <c r="C18" s="337">
        <v>7560</v>
      </c>
      <c r="D18" s="352">
        <f t="shared" ref="D18:D23" si="4">C18/C$25*100</f>
        <v>0.25068166512311751</v>
      </c>
      <c r="E18" s="337">
        <v>10015</v>
      </c>
      <c r="F18" s="352">
        <f t="shared" ref="F18:F23" si="5">E18/E$25*100</f>
        <v>1.8011164584097663</v>
      </c>
      <c r="G18" s="345">
        <f t="shared" ref="G18:G23" si="6">C18-E18</f>
        <v>-2455</v>
      </c>
      <c r="H18" s="27">
        <f t="shared" ref="H18:H23" si="7">E18/C18</f>
        <v>1.3247354497354498</v>
      </c>
      <c r="K18"/>
      <c r="L18"/>
      <c r="M18"/>
      <c r="N18"/>
      <c r="O18"/>
    </row>
    <row r="19" spans="1:15" ht="15" customHeight="1" x14ac:dyDescent="0.25">
      <c r="B19" s="5" t="s">
        <v>22</v>
      </c>
      <c r="C19" s="338">
        <v>3438</v>
      </c>
      <c r="D19" s="353">
        <f t="shared" si="4"/>
        <v>0.11400047152027488</v>
      </c>
      <c r="E19" s="338">
        <v>13130</v>
      </c>
      <c r="F19" s="353">
        <f t="shared" si="5"/>
        <v>2.361323924006014</v>
      </c>
      <c r="G19" s="346">
        <f t="shared" si="6"/>
        <v>-9692</v>
      </c>
      <c r="H19" s="57">
        <f t="shared" si="7"/>
        <v>3.8190808609656779</v>
      </c>
      <c r="K19"/>
      <c r="L19"/>
      <c r="M19"/>
      <c r="N19"/>
      <c r="O19"/>
    </row>
    <row r="20" spans="1:15" ht="15" customHeight="1" x14ac:dyDescent="0.25">
      <c r="B20" s="4" t="s">
        <v>53</v>
      </c>
      <c r="C20" s="337">
        <v>1789</v>
      </c>
      <c r="D20" s="352">
        <f t="shared" si="4"/>
        <v>5.9321362289055192E-2</v>
      </c>
      <c r="E20" s="337">
        <v>15764</v>
      </c>
      <c r="F20" s="352">
        <f t="shared" si="5"/>
        <v>2.8350274438713483</v>
      </c>
      <c r="G20" s="345">
        <f t="shared" si="6"/>
        <v>-13975</v>
      </c>
      <c r="H20" s="56">
        <f t="shared" si="7"/>
        <v>8.8116266070430402</v>
      </c>
      <c r="K20"/>
      <c r="L20"/>
      <c r="M20"/>
      <c r="N20"/>
      <c r="O20"/>
    </row>
    <row r="21" spans="1:15" ht="15" customHeight="1" x14ac:dyDescent="0.25">
      <c r="B21" s="5" t="s">
        <v>59</v>
      </c>
      <c r="C21" s="338">
        <v>403</v>
      </c>
      <c r="D21" s="353">
        <f t="shared" si="4"/>
        <v>1.3363057016483647E-2</v>
      </c>
      <c r="E21" s="338">
        <v>31321</v>
      </c>
      <c r="F21" s="353">
        <f t="shared" si="5"/>
        <v>5.6328276179582906</v>
      </c>
      <c r="G21" s="346">
        <f t="shared" si="6"/>
        <v>-30918</v>
      </c>
      <c r="H21" s="57">
        <f t="shared" si="7"/>
        <v>77.719602977667492</v>
      </c>
      <c r="K21"/>
      <c r="L21"/>
      <c r="M21"/>
      <c r="N21"/>
      <c r="O21"/>
    </row>
    <row r="22" spans="1:15" ht="15" customHeight="1" x14ac:dyDescent="0.25">
      <c r="B22" s="4" t="s">
        <v>24</v>
      </c>
      <c r="C22" s="337">
        <v>1669</v>
      </c>
      <c r="D22" s="352">
        <f t="shared" si="4"/>
        <v>5.5342288239481903E-2</v>
      </c>
      <c r="E22" s="337">
        <v>78204</v>
      </c>
      <c r="F22" s="352">
        <f t="shared" si="5"/>
        <v>14.064354619418607</v>
      </c>
      <c r="G22" s="345">
        <f t="shared" si="6"/>
        <v>-76535</v>
      </c>
      <c r="H22" s="56">
        <f t="shared" si="7"/>
        <v>46.856800479328939</v>
      </c>
      <c r="K22"/>
      <c r="L22"/>
      <c r="M22"/>
      <c r="N22"/>
      <c r="O22"/>
    </row>
    <row r="23" spans="1:15" ht="15" customHeight="1" x14ac:dyDescent="0.25">
      <c r="B23" s="5" t="s">
        <v>20</v>
      </c>
      <c r="C23" s="338">
        <v>16524</v>
      </c>
      <c r="D23" s="353">
        <f t="shared" si="4"/>
        <v>0.54791849662624259</v>
      </c>
      <c r="E23" s="338">
        <v>253250</v>
      </c>
      <c r="F23" s="353">
        <f t="shared" si="5"/>
        <v>45.544956873916455</v>
      </c>
      <c r="G23" s="346">
        <f t="shared" si="6"/>
        <v>-236726</v>
      </c>
      <c r="H23" s="57">
        <f t="shared" si="7"/>
        <v>15.326192205277172</v>
      </c>
      <c r="K23" s="5"/>
      <c r="L23" s="22"/>
      <c r="M23" s="22"/>
      <c r="N23" s="22"/>
      <c r="O23" s="57"/>
    </row>
    <row r="24" spans="1:15" ht="30" customHeight="1" x14ac:dyDescent="0.2">
      <c r="B24" s="5"/>
      <c r="C24" s="338"/>
      <c r="D24" s="353"/>
      <c r="E24" s="338"/>
      <c r="F24" s="353"/>
      <c r="G24" s="346"/>
      <c r="H24" s="62" t="s">
        <v>77</v>
      </c>
    </row>
    <row r="25" spans="1:15" ht="30" customHeight="1" x14ac:dyDescent="0.25">
      <c r="B25" s="25" t="s">
        <v>10</v>
      </c>
      <c r="C25" s="340">
        <v>3015777</v>
      </c>
      <c r="D25" s="355">
        <f>C25/C$25*100</f>
        <v>100</v>
      </c>
      <c r="E25" s="340">
        <v>556044</v>
      </c>
      <c r="F25" s="355">
        <f>E25/E$25*100</f>
        <v>100</v>
      </c>
      <c r="G25" s="348">
        <f>C25-E25</f>
        <v>2459733</v>
      </c>
      <c r="H25" s="55">
        <f>C25/E25</f>
        <v>5.4236301443770634</v>
      </c>
    </row>
    <row r="26" spans="1:15" s="47" customFormat="1" ht="30" customHeight="1" x14ac:dyDescent="0.2">
      <c r="B26" s="48" t="s">
        <v>69</v>
      </c>
      <c r="C26" s="341">
        <v>2622437</v>
      </c>
      <c r="D26" s="356">
        <f>C26/C$25*100</f>
        <v>86.957258444507005</v>
      </c>
      <c r="E26" s="341">
        <v>85247</v>
      </c>
      <c r="F26" s="356">
        <f>E26/E$25*100</f>
        <v>15.330981001503478</v>
      </c>
      <c r="G26" s="349">
        <f>C26-E26</f>
        <v>2537190</v>
      </c>
      <c r="H26" s="59">
        <f>C26/E26</f>
        <v>30.762806902295683</v>
      </c>
      <c r="K26" s="1"/>
    </row>
    <row r="27" spans="1:15" ht="15" customHeight="1" x14ac:dyDescent="0.2">
      <c r="B27" s="45" t="s">
        <v>70</v>
      </c>
      <c r="C27" s="342">
        <v>316539</v>
      </c>
      <c r="D27" s="357">
        <f>C27/C$25*100</f>
        <v>10.496101004815674</v>
      </c>
      <c r="E27" s="342">
        <v>45587</v>
      </c>
      <c r="F27" s="357">
        <f>E27/E$25*100</f>
        <v>8.1984519210709941</v>
      </c>
      <c r="G27" s="350">
        <f>C27-E27</f>
        <v>270952</v>
      </c>
      <c r="H27" s="60">
        <f>C27/E27</f>
        <v>6.9436242788514271</v>
      </c>
      <c r="J27" s="47"/>
    </row>
    <row r="28" spans="1:15" ht="15" customHeight="1" x14ac:dyDescent="0.2">
      <c r="B28" s="45" t="s">
        <v>71</v>
      </c>
      <c r="C28" s="342">
        <v>1693353</v>
      </c>
      <c r="D28" s="357">
        <f>C28/C$25*100</f>
        <v>56.149808158892391</v>
      </c>
      <c r="E28" s="342">
        <v>95819</v>
      </c>
      <c r="F28" s="357">
        <f>E28/E$25*100</f>
        <v>17.232269388753409</v>
      </c>
      <c r="G28" s="350">
        <f>C28-E28</f>
        <v>1597534</v>
      </c>
      <c r="H28" s="60">
        <f>C28/E28</f>
        <v>17.672413613166491</v>
      </c>
      <c r="J28" s="47"/>
    </row>
    <row r="29" spans="1:15" ht="30" customHeight="1" thickBot="1" x14ac:dyDescent="0.25">
      <c r="B29" s="51" t="s">
        <v>72</v>
      </c>
      <c r="C29" s="343">
        <v>1512615</v>
      </c>
      <c r="D29" s="358">
        <f>C29/C$25*100</f>
        <v>50.156725779127562</v>
      </c>
      <c r="E29" s="343">
        <v>50937</v>
      </c>
      <c r="F29" s="358">
        <f>E29/E$25*100</f>
        <v>9.1606059952090124</v>
      </c>
      <c r="G29" s="351">
        <f>C29-E29</f>
        <v>1461678</v>
      </c>
      <c r="H29" s="61">
        <f>C29/E29</f>
        <v>29.695800694976146</v>
      </c>
      <c r="J29" s="47"/>
    </row>
    <row r="30" spans="1:15" ht="15" customHeight="1" x14ac:dyDescent="0.25">
      <c r="B30" s="5"/>
      <c r="C30" s="6"/>
      <c r="D30" s="6"/>
      <c r="E30" s="6"/>
      <c r="F30" s="6"/>
      <c r="G30" s="6"/>
      <c r="H30" s="6"/>
    </row>
    <row r="31" spans="1:15" ht="60" customHeight="1" x14ac:dyDescent="0.25">
      <c r="A31" s="68" t="s">
        <v>79</v>
      </c>
      <c r="B31" s="412" t="s">
        <v>80</v>
      </c>
      <c r="C31" s="410"/>
      <c r="D31" s="410"/>
      <c r="E31" s="410"/>
      <c r="F31" s="410"/>
      <c r="G31" s="410"/>
      <c r="H31" s="410"/>
    </row>
    <row r="32" spans="1:15" ht="15" customHeight="1" x14ac:dyDescent="0.25">
      <c r="A32" s="123" t="s">
        <v>63</v>
      </c>
      <c r="B32" s="409" t="s">
        <v>326</v>
      </c>
      <c r="C32" s="410"/>
      <c r="D32" s="410"/>
      <c r="E32" s="410"/>
      <c r="F32" s="1"/>
      <c r="G32" s="1"/>
      <c r="H32" s="1"/>
    </row>
    <row r="33" spans="1:8" ht="15" customHeight="1" x14ac:dyDescent="0.25">
      <c r="A33" s="369" t="s">
        <v>282</v>
      </c>
      <c r="B33" s="371" t="s">
        <v>323</v>
      </c>
      <c r="C33" s="359"/>
      <c r="F33"/>
      <c r="G33"/>
      <c r="H33" s="1"/>
    </row>
    <row r="34" spans="1:8" ht="15" customHeight="1" x14ac:dyDescent="0.25">
      <c r="A34" s="370" t="s">
        <v>4</v>
      </c>
      <c r="B34" s="497" t="s">
        <v>344</v>
      </c>
      <c r="C34" s="408"/>
      <c r="F34"/>
      <c r="G34"/>
      <c r="H34" s="1"/>
    </row>
  </sheetData>
  <mergeCells count="10">
    <mergeCell ref="B34:C34"/>
    <mergeCell ref="B32:E32"/>
    <mergeCell ref="B31:H31"/>
    <mergeCell ref="B2:H2"/>
    <mergeCell ref="B3:H3"/>
    <mergeCell ref="C4:D4"/>
    <mergeCell ref="E4:F4"/>
    <mergeCell ref="B4:B5"/>
    <mergeCell ref="G4:G5"/>
    <mergeCell ref="H4:H5"/>
  </mergeCells>
  <hyperlinks>
    <hyperlink ref="H1" location="Índice!A1" display="[índice Ç]"/>
    <hyperlink ref="B34"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topLeftCell="A16" workbookViewId="0">
      <selection activeCell="E28" sqref="E28"/>
    </sheetView>
  </sheetViews>
  <sheetFormatPr defaultRowHeight="15" x14ac:dyDescent="0.25"/>
  <cols>
    <col min="1" max="1" width="12.7109375" customWidth="1"/>
    <col min="2" max="2" width="8.7109375" customWidth="1"/>
    <col min="3" max="12" width="16.7109375" customWidth="1"/>
    <col min="13" max="13" width="16.7109375" style="113" customWidth="1"/>
  </cols>
  <sheetData>
    <row r="1" spans="1:34" s="78" customFormat="1" ht="30" customHeight="1" x14ac:dyDescent="0.25">
      <c r="A1" s="99" t="s">
        <v>0</v>
      </c>
      <c r="B1" s="377" t="s">
        <v>1</v>
      </c>
      <c r="C1" s="377"/>
      <c r="D1" s="378"/>
      <c r="E1" s="76"/>
      <c r="F1" s="76"/>
      <c r="M1" s="228" t="s">
        <v>269</v>
      </c>
      <c r="R1"/>
    </row>
    <row r="2" spans="1:34" s="78" customFormat="1" ht="30" customHeight="1" x14ac:dyDescent="0.25">
      <c r="B2" s="423" t="s">
        <v>285</v>
      </c>
      <c r="C2" s="424"/>
      <c r="D2" s="424"/>
      <c r="E2" s="424"/>
      <c r="F2" s="424"/>
      <c r="G2" s="424"/>
      <c r="H2" s="424"/>
      <c r="I2" s="424"/>
      <c r="J2" s="424"/>
      <c r="K2" s="424"/>
      <c r="L2" s="424"/>
      <c r="M2" s="424"/>
      <c r="R2"/>
    </row>
    <row r="3" spans="1:34" s="124" customFormat="1" ht="15" customHeight="1" thickBot="1" x14ac:dyDescent="0.3">
      <c r="B3" s="425" t="s">
        <v>261</v>
      </c>
      <c r="C3" s="426"/>
      <c r="D3" s="426"/>
      <c r="E3" s="426"/>
      <c r="F3" s="426"/>
      <c r="G3" s="426"/>
      <c r="H3" s="426"/>
      <c r="I3" s="426"/>
      <c r="J3" s="426"/>
      <c r="K3" s="426"/>
      <c r="L3" s="426"/>
      <c r="M3" s="426"/>
      <c r="R3" s="127"/>
    </row>
    <row r="4" spans="1:34" s="78" customFormat="1" ht="30" customHeight="1" x14ac:dyDescent="0.25">
      <c r="B4" s="427" t="s">
        <v>228</v>
      </c>
      <c r="C4" s="429" t="s">
        <v>133</v>
      </c>
      <c r="D4" s="431" t="s">
        <v>226</v>
      </c>
      <c r="E4" s="433" t="s">
        <v>227</v>
      </c>
      <c r="F4" s="435" t="s">
        <v>286</v>
      </c>
      <c r="G4" s="437" t="s">
        <v>236</v>
      </c>
      <c r="H4" s="438"/>
      <c r="I4" s="439"/>
      <c r="J4" s="440"/>
      <c r="K4" s="441" t="s">
        <v>263</v>
      </c>
      <c r="L4" s="442"/>
      <c r="M4" s="442"/>
      <c r="R4"/>
    </row>
    <row r="5" spans="1:34" s="78" customFormat="1" ht="45" customHeight="1" x14ac:dyDescent="0.25">
      <c r="B5" s="428"/>
      <c r="C5" s="430"/>
      <c r="D5" s="432"/>
      <c r="E5" s="434"/>
      <c r="F5" s="436"/>
      <c r="G5" s="118" t="s">
        <v>133</v>
      </c>
      <c r="H5" s="222" t="s">
        <v>226</v>
      </c>
      <c r="I5" s="266" t="s">
        <v>227</v>
      </c>
      <c r="J5" s="267" t="s">
        <v>286</v>
      </c>
      <c r="K5" s="222" t="s">
        <v>264</v>
      </c>
      <c r="L5" s="266" t="s">
        <v>265</v>
      </c>
      <c r="M5" s="268" t="s">
        <v>287</v>
      </c>
      <c r="R5"/>
    </row>
    <row r="6" spans="1:34" s="115" customFormat="1" ht="15" customHeight="1" x14ac:dyDescent="0.25">
      <c r="A6" s="114"/>
      <c r="B6" s="121">
        <v>1996</v>
      </c>
      <c r="C6" s="223">
        <v>2737486</v>
      </c>
      <c r="D6" s="171">
        <v>93216000</v>
      </c>
      <c r="E6" s="248">
        <f>25047.28*1000</f>
        <v>25047280</v>
      </c>
      <c r="F6" s="249">
        <v>4629529</v>
      </c>
      <c r="G6" s="122">
        <f t="shared" ref="G6:J11" si="0">C6/C$6*100</f>
        <v>100</v>
      </c>
      <c r="H6" s="219">
        <f t="shared" si="0"/>
        <v>100</v>
      </c>
      <c r="I6" s="257">
        <f t="shared" si="0"/>
        <v>100</v>
      </c>
      <c r="J6" s="258">
        <f t="shared" si="0"/>
        <v>100</v>
      </c>
      <c r="K6" s="254">
        <f>(C6/D6)*100</f>
        <v>2.9367125815310677</v>
      </c>
      <c r="L6" s="263">
        <f>(C6/E6)*100</f>
        <v>10.929274555959768</v>
      </c>
      <c r="M6" s="263">
        <f>(C6/F6)*100</f>
        <v>59.130982871043678</v>
      </c>
      <c r="N6" s="114"/>
      <c r="O6" s="114"/>
      <c r="P6" s="114"/>
      <c r="Q6" s="114"/>
      <c r="R6"/>
      <c r="S6" s="167"/>
      <c r="T6" s="114"/>
      <c r="U6" s="114"/>
      <c r="V6" s="114"/>
      <c r="W6" s="114"/>
      <c r="X6" s="114"/>
      <c r="Y6" s="114"/>
      <c r="Z6" s="114"/>
      <c r="AA6" s="114"/>
      <c r="AB6" s="114"/>
      <c r="AC6" s="114"/>
      <c r="AD6" s="114"/>
      <c r="AE6" s="114"/>
      <c r="AF6" s="114"/>
      <c r="AG6" s="114"/>
      <c r="AH6" s="114"/>
    </row>
    <row r="7" spans="1:34" s="115" customFormat="1" ht="15" customHeight="1" x14ac:dyDescent="0.25">
      <c r="A7" s="114"/>
      <c r="B7" s="116">
        <v>1997</v>
      </c>
      <c r="C7" s="224">
        <v>2932554</v>
      </c>
      <c r="D7" s="172">
        <v>101145000</v>
      </c>
      <c r="E7" s="250">
        <f>27785.207*1000</f>
        <v>27785207</v>
      </c>
      <c r="F7" s="251">
        <v>7952174</v>
      </c>
      <c r="G7" s="119">
        <f t="shared" si="0"/>
        <v>107.1258081319868</v>
      </c>
      <c r="H7" s="220">
        <f t="shared" si="0"/>
        <v>108.50605046343975</v>
      </c>
      <c r="I7" s="259">
        <f t="shared" si="0"/>
        <v>110.93103522618024</v>
      </c>
      <c r="J7" s="260">
        <f t="shared" si="0"/>
        <v>171.77069200776148</v>
      </c>
      <c r="K7" s="255">
        <f t="shared" ref="K7:K23" si="1">(C7/D7)*100</f>
        <v>2.8993563695684412</v>
      </c>
      <c r="L7" s="264">
        <f t="shared" ref="L7:L23" si="2">(C7/E7)*100</f>
        <v>10.554371612203573</v>
      </c>
      <c r="M7" s="264">
        <f t="shared" ref="M7:M23" si="3">(C7/F7)*100</f>
        <v>36.877387240269137</v>
      </c>
      <c r="N7" s="114"/>
      <c r="O7" s="114"/>
      <c r="P7" s="114"/>
      <c r="Q7" s="114"/>
      <c r="R7"/>
      <c r="S7" s="167"/>
      <c r="T7" s="114"/>
      <c r="U7" s="114"/>
      <c r="V7" s="114"/>
      <c r="W7" s="114"/>
      <c r="X7" s="114"/>
      <c r="Y7" s="114"/>
      <c r="Z7" s="114"/>
      <c r="AA7" s="114"/>
      <c r="AB7" s="114"/>
      <c r="AC7" s="114"/>
      <c r="AD7" s="114"/>
      <c r="AE7" s="114"/>
      <c r="AF7" s="114"/>
      <c r="AG7" s="114"/>
      <c r="AH7" s="114"/>
    </row>
    <row r="8" spans="1:34" s="115" customFormat="1" ht="15" customHeight="1" x14ac:dyDescent="0.25">
      <c r="A8" s="114"/>
      <c r="B8" s="121">
        <v>1998</v>
      </c>
      <c r="C8" s="223">
        <v>3016292</v>
      </c>
      <c r="D8" s="171">
        <v>110376000</v>
      </c>
      <c r="E8" s="248">
        <f>30432.479*1000</f>
        <v>30432479</v>
      </c>
      <c r="F8" s="249">
        <v>11072212</v>
      </c>
      <c r="G8" s="122">
        <f t="shared" si="0"/>
        <v>110.18474615029994</v>
      </c>
      <c r="H8" s="219">
        <f t="shared" si="0"/>
        <v>118.40885684860969</v>
      </c>
      <c r="I8" s="257">
        <f t="shared" si="0"/>
        <v>121.50013494479242</v>
      </c>
      <c r="J8" s="258">
        <f t="shared" si="0"/>
        <v>239.16497768995507</v>
      </c>
      <c r="K8" s="254">
        <f t="shared" si="1"/>
        <v>2.7327426252083784</v>
      </c>
      <c r="L8" s="263">
        <f t="shared" si="2"/>
        <v>9.9114239099614583</v>
      </c>
      <c r="M8" s="263">
        <f t="shared" si="3"/>
        <v>27.242000062860068</v>
      </c>
      <c r="N8" s="114"/>
      <c r="O8" s="114"/>
      <c r="P8" s="114"/>
      <c r="Q8" s="114"/>
      <c r="R8"/>
      <c r="S8" s="167"/>
      <c r="T8" s="114"/>
      <c r="U8" s="114"/>
      <c r="V8" s="114"/>
      <c r="W8" s="114"/>
      <c r="X8" s="114"/>
      <c r="Y8" s="114"/>
      <c r="Z8" s="114"/>
      <c r="AA8" s="114"/>
      <c r="AB8" s="114"/>
      <c r="AC8" s="114"/>
      <c r="AD8" s="114"/>
      <c r="AE8" s="114"/>
      <c r="AF8" s="114"/>
      <c r="AG8" s="114"/>
      <c r="AH8" s="114"/>
    </row>
    <row r="9" spans="1:34" s="115" customFormat="1" ht="15" customHeight="1" x14ac:dyDescent="0.25">
      <c r="A9" s="114"/>
      <c r="B9" s="116">
        <v>1999</v>
      </c>
      <c r="C9" s="224">
        <v>3121683</v>
      </c>
      <c r="D9" s="172">
        <v>118661000</v>
      </c>
      <c r="E9" s="250">
        <f>31670.719*1000</f>
        <v>31670719</v>
      </c>
      <c r="F9" s="251">
        <v>13631190</v>
      </c>
      <c r="G9" s="119">
        <f t="shared" si="0"/>
        <v>114.03466538276361</v>
      </c>
      <c r="H9" s="220">
        <f t="shared" si="0"/>
        <v>127.29681599725369</v>
      </c>
      <c r="I9" s="259">
        <f t="shared" si="0"/>
        <v>126.44374558834332</v>
      </c>
      <c r="J9" s="260">
        <f t="shared" si="0"/>
        <v>294.44010395009946</v>
      </c>
      <c r="K9" s="255">
        <f t="shared" si="1"/>
        <v>2.6307573676271057</v>
      </c>
      <c r="L9" s="264">
        <f t="shared" si="2"/>
        <v>9.8566849713768736</v>
      </c>
      <c r="M9" s="264">
        <f t="shared" si="3"/>
        <v>22.901030651029</v>
      </c>
      <c r="N9" s="114"/>
      <c r="O9" s="114"/>
      <c r="P9" s="114"/>
      <c r="Q9" s="114"/>
      <c r="R9"/>
      <c r="S9" s="167"/>
      <c r="T9" s="114"/>
      <c r="U9" s="114"/>
      <c r="V9" s="114"/>
      <c r="W9" s="114"/>
      <c r="X9" s="114"/>
      <c r="Y9" s="114"/>
      <c r="Z9" s="114"/>
      <c r="AA9" s="114"/>
      <c r="AB9" s="114"/>
      <c r="AC9" s="114"/>
      <c r="AD9" s="114"/>
      <c r="AE9" s="114"/>
      <c r="AF9" s="114"/>
      <c r="AG9" s="114"/>
      <c r="AH9" s="114"/>
    </row>
    <row r="10" spans="1:34" s="115" customFormat="1" ht="15" customHeight="1" x14ac:dyDescent="0.25">
      <c r="A10" s="114"/>
      <c r="B10" s="121">
        <v>2000</v>
      </c>
      <c r="C10" s="223">
        <v>3458121</v>
      </c>
      <c r="D10" s="171">
        <v>127316000</v>
      </c>
      <c r="E10" s="248">
        <f>36215.752*1000</f>
        <v>36215752</v>
      </c>
      <c r="F10" s="249">
        <v>26594587</v>
      </c>
      <c r="G10" s="122">
        <f t="shared" si="0"/>
        <v>126.32470083865269</v>
      </c>
      <c r="H10" s="219">
        <f t="shared" si="0"/>
        <v>136.58170271198077</v>
      </c>
      <c r="I10" s="257">
        <f t="shared" si="0"/>
        <v>144.58956022370492</v>
      </c>
      <c r="J10" s="258">
        <f t="shared" si="0"/>
        <v>574.45556556617316</v>
      </c>
      <c r="K10" s="254">
        <f t="shared" si="1"/>
        <v>2.7161715730937197</v>
      </c>
      <c r="L10" s="263">
        <f t="shared" si="2"/>
        <v>9.5486654536401741</v>
      </c>
      <c r="M10" s="263">
        <f t="shared" si="3"/>
        <v>13.003100969381476</v>
      </c>
      <c r="N10" s="114"/>
      <c r="O10" s="114"/>
      <c r="P10" s="114"/>
      <c r="Q10" s="114"/>
      <c r="R10"/>
      <c r="S10" s="167"/>
      <c r="T10" s="114"/>
      <c r="U10" s="114"/>
      <c r="V10" s="114"/>
      <c r="W10" s="114"/>
      <c r="X10" s="114"/>
      <c r="Y10" s="114"/>
      <c r="Z10" s="114"/>
      <c r="AA10" s="114"/>
      <c r="AB10" s="114"/>
      <c r="AC10" s="114"/>
      <c r="AD10" s="114"/>
      <c r="AE10" s="114"/>
      <c r="AF10" s="114"/>
      <c r="AG10" s="114"/>
      <c r="AH10" s="114"/>
    </row>
    <row r="11" spans="1:34" s="115" customFormat="1" ht="15" customHeight="1" x14ac:dyDescent="0.25">
      <c r="A11" s="114"/>
      <c r="B11" s="116">
        <v>2001</v>
      </c>
      <c r="C11" s="224">
        <v>3736820</v>
      </c>
      <c r="D11" s="172">
        <v>134471000</v>
      </c>
      <c r="E11" s="250">
        <f>37249.335*1000</f>
        <v>37249335</v>
      </c>
      <c r="F11" s="251">
        <v>27866318</v>
      </c>
      <c r="G11" s="119">
        <f t="shared" si="0"/>
        <v>136.50553829316388</v>
      </c>
      <c r="H11" s="220">
        <f t="shared" si="0"/>
        <v>144.25742361826298</v>
      </c>
      <c r="I11" s="259">
        <f t="shared" si="0"/>
        <v>148.71608813412075</v>
      </c>
      <c r="J11" s="260">
        <f t="shared" si="0"/>
        <v>601.92555225380374</v>
      </c>
      <c r="K11" s="255">
        <f t="shared" si="1"/>
        <v>2.7789040016062945</v>
      </c>
      <c r="L11" s="264">
        <f t="shared" si="2"/>
        <v>10.031910636793919</v>
      </c>
      <c r="M11" s="264">
        <f t="shared" si="3"/>
        <v>13.409808931341413</v>
      </c>
      <c r="N11" s="114"/>
      <c r="O11" s="82"/>
      <c r="P11" s="167"/>
      <c r="Q11" s="167"/>
      <c r="R11"/>
      <c r="S11" s="167"/>
      <c r="T11" s="114"/>
      <c r="U11" s="114"/>
      <c r="V11" s="114"/>
      <c r="W11" s="114"/>
      <c r="X11" s="114"/>
      <c r="Y11" s="114"/>
      <c r="Z11" s="114"/>
      <c r="AA11" s="114"/>
      <c r="AB11" s="114"/>
      <c r="AC11" s="114"/>
      <c r="AD11" s="114"/>
      <c r="AE11" s="114"/>
      <c r="AF11" s="114"/>
      <c r="AG11" s="114"/>
      <c r="AH11" s="114"/>
    </row>
    <row r="12" spans="1:34" s="168" customFormat="1" ht="15" customHeight="1" x14ac:dyDescent="0.25">
      <c r="B12" s="121">
        <v>2002</v>
      </c>
      <c r="C12" s="223">
        <v>2817885</v>
      </c>
      <c r="D12" s="171">
        <v>140566000</v>
      </c>
      <c r="E12" s="248">
        <f>38432.823*1000</f>
        <v>38432823</v>
      </c>
      <c r="F12" s="249">
        <v>21707163</v>
      </c>
      <c r="G12" s="122">
        <f>C12/C$12*100</f>
        <v>100</v>
      </c>
      <c r="H12" s="219">
        <f>D12/D$12*100</f>
        <v>100</v>
      </c>
      <c r="I12" s="257">
        <f>E12/E$12*100</f>
        <v>100</v>
      </c>
      <c r="J12" s="258">
        <f>F12/F$12*100</f>
        <v>100</v>
      </c>
      <c r="K12" s="254">
        <f t="shared" si="1"/>
        <v>2.0046704039383636</v>
      </c>
      <c r="L12" s="263">
        <f t="shared" si="2"/>
        <v>7.3319750672491582</v>
      </c>
      <c r="M12" s="263">
        <f t="shared" si="3"/>
        <v>12.981360116013319</v>
      </c>
      <c r="O12" s="169"/>
      <c r="P12" s="170"/>
      <c r="Q12" s="170"/>
      <c r="R12" s="127"/>
      <c r="S12" s="170"/>
    </row>
    <row r="13" spans="1:34" s="115" customFormat="1" ht="15" customHeight="1" x14ac:dyDescent="0.25">
      <c r="A13" s="114"/>
      <c r="B13" s="116">
        <v>2003</v>
      </c>
      <c r="C13" s="224">
        <v>2433777</v>
      </c>
      <c r="D13" s="172">
        <v>143471000</v>
      </c>
      <c r="E13" s="250">
        <f>39099.837*1000</f>
        <v>39099837</v>
      </c>
      <c r="F13" s="251">
        <v>32224368</v>
      </c>
      <c r="G13" s="119">
        <f t="shared" ref="G13:G23" si="4">C13/C$12*100</f>
        <v>86.368925630393008</v>
      </c>
      <c r="H13" s="220">
        <f t="shared" ref="H13:H23" si="5">D13/D$12*100</f>
        <v>102.06664485010599</v>
      </c>
      <c r="I13" s="259">
        <f t="shared" ref="I13:I23" si="6">E13/E$12*100</f>
        <v>101.73553215177557</v>
      </c>
      <c r="J13" s="260">
        <f t="shared" ref="J13:J23" si="7">F13/F$12*100</f>
        <v>148.45038939450538</v>
      </c>
      <c r="K13" s="255">
        <f t="shared" si="1"/>
        <v>1.6963546640087546</v>
      </c>
      <c r="L13" s="264">
        <f t="shared" si="2"/>
        <v>6.2245195549024928</v>
      </c>
      <c r="M13" s="264">
        <f t="shared" si="3"/>
        <v>7.5525980835372781</v>
      </c>
      <c r="N13" s="114"/>
      <c r="O13" s="82"/>
      <c r="P13" s="167"/>
      <c r="Q13" s="167"/>
      <c r="R13"/>
      <c r="S13" s="167"/>
      <c r="T13" s="114"/>
      <c r="U13" s="114"/>
      <c r="V13" s="114"/>
      <c r="W13" s="114"/>
      <c r="X13" s="114"/>
      <c r="Y13" s="114"/>
      <c r="Z13" s="114"/>
      <c r="AA13" s="114"/>
      <c r="AB13" s="114"/>
      <c r="AC13" s="114"/>
      <c r="AD13" s="114"/>
      <c r="AE13" s="114"/>
      <c r="AF13" s="114"/>
      <c r="AG13" s="114"/>
      <c r="AH13" s="114"/>
    </row>
    <row r="14" spans="1:34" s="115" customFormat="1" ht="15" customHeight="1" x14ac:dyDescent="0.25">
      <c r="A14" s="114"/>
      <c r="B14" s="121">
        <v>2004</v>
      </c>
      <c r="C14" s="223">
        <v>2442164</v>
      </c>
      <c r="D14" s="171">
        <v>149312000</v>
      </c>
      <c r="E14" s="248">
        <f>41527.936*1000</f>
        <v>41527936</v>
      </c>
      <c r="F14" s="249">
        <v>27111220</v>
      </c>
      <c r="G14" s="122">
        <f t="shared" si="4"/>
        <v>86.666560203840831</v>
      </c>
      <c r="H14" s="219">
        <f t="shared" si="5"/>
        <v>106.22198824751364</v>
      </c>
      <c r="I14" s="257">
        <f t="shared" si="6"/>
        <v>108.0533064146758</v>
      </c>
      <c r="J14" s="258">
        <f t="shared" si="7"/>
        <v>124.89527074542168</v>
      </c>
      <c r="K14" s="254">
        <f t="shared" si="1"/>
        <v>1.635611337333905</v>
      </c>
      <c r="L14" s="263">
        <f t="shared" si="2"/>
        <v>5.8807738482355587</v>
      </c>
      <c r="M14" s="263">
        <f t="shared" si="3"/>
        <v>9.0079457877587217</v>
      </c>
      <c r="N14" s="114"/>
      <c r="O14" s="82"/>
      <c r="P14" s="167"/>
      <c r="Q14" s="167"/>
      <c r="R14"/>
      <c r="S14" s="167"/>
      <c r="T14" s="114"/>
      <c r="U14" s="114"/>
      <c r="V14" s="114"/>
      <c r="W14" s="114"/>
      <c r="X14" s="114"/>
      <c r="Y14" s="114"/>
      <c r="Z14" s="114"/>
      <c r="AA14" s="114"/>
      <c r="AB14" s="114"/>
      <c r="AC14" s="114"/>
      <c r="AD14" s="114"/>
      <c r="AE14" s="114"/>
      <c r="AF14" s="114"/>
      <c r="AG14" s="114"/>
      <c r="AH14" s="114"/>
    </row>
    <row r="15" spans="1:34" s="115" customFormat="1" ht="15" customHeight="1" x14ac:dyDescent="0.25">
      <c r="A15" s="114"/>
      <c r="B15" s="116">
        <v>2005</v>
      </c>
      <c r="C15" s="224">
        <v>2277248</v>
      </c>
      <c r="D15" s="172">
        <v>154268000</v>
      </c>
      <c r="E15" s="250">
        <f>42414.58*1000</f>
        <v>42414580</v>
      </c>
      <c r="F15" s="251">
        <v>27676638</v>
      </c>
      <c r="G15" s="119">
        <f t="shared" si="4"/>
        <v>80.81408574161118</v>
      </c>
      <c r="H15" s="220">
        <f t="shared" si="5"/>
        <v>109.74773416046555</v>
      </c>
      <c r="I15" s="259">
        <f t="shared" si="6"/>
        <v>110.36030322310697</v>
      </c>
      <c r="J15" s="260">
        <f t="shared" si="7"/>
        <v>127.50002384005685</v>
      </c>
      <c r="K15" s="255">
        <f t="shared" si="1"/>
        <v>1.4761635595197968</v>
      </c>
      <c r="L15" s="264">
        <f t="shared" si="2"/>
        <v>5.3690216901829508</v>
      </c>
      <c r="M15" s="264">
        <f t="shared" si="3"/>
        <v>8.2280513984393622</v>
      </c>
      <c r="N15" s="114"/>
      <c r="O15" s="82"/>
      <c r="P15" s="167"/>
      <c r="Q15" s="167"/>
      <c r="R15"/>
      <c r="S15" s="167"/>
      <c r="T15" s="114"/>
      <c r="U15" s="114"/>
      <c r="V15" s="114"/>
      <c r="W15" s="114"/>
      <c r="X15" s="114"/>
      <c r="Y15" s="114"/>
      <c r="Z15" s="114"/>
      <c r="AA15" s="114"/>
      <c r="AB15" s="114"/>
      <c r="AC15" s="114"/>
      <c r="AD15" s="114"/>
      <c r="AE15" s="114"/>
      <c r="AF15" s="114"/>
      <c r="AG15" s="114"/>
      <c r="AH15" s="114"/>
    </row>
    <row r="16" spans="1:34" s="115" customFormat="1" ht="15" customHeight="1" x14ac:dyDescent="0.25">
      <c r="A16" s="114"/>
      <c r="B16" s="121">
        <v>2006</v>
      </c>
      <c r="C16" s="223">
        <v>2420267</v>
      </c>
      <c r="D16" s="171">
        <v>160855000</v>
      </c>
      <c r="E16" s="248">
        <f>49736.74*1000</f>
        <v>49736740</v>
      </c>
      <c r="F16" s="249">
        <v>32820132</v>
      </c>
      <c r="G16" s="122">
        <f t="shared" si="4"/>
        <v>85.889488038014321</v>
      </c>
      <c r="H16" s="219">
        <f t="shared" si="5"/>
        <v>114.43378910974205</v>
      </c>
      <c r="I16" s="257">
        <f t="shared" si="6"/>
        <v>129.41214336506064</v>
      </c>
      <c r="J16" s="258">
        <f t="shared" si="7"/>
        <v>151.19493966116161</v>
      </c>
      <c r="K16" s="254">
        <f t="shared" si="1"/>
        <v>1.5046265269963632</v>
      </c>
      <c r="L16" s="263">
        <f t="shared" si="2"/>
        <v>4.866155280784386</v>
      </c>
      <c r="M16" s="263">
        <f t="shared" si="3"/>
        <v>7.3743365809741421</v>
      </c>
      <c r="N16" s="114"/>
      <c r="O16" s="82"/>
      <c r="P16" s="167"/>
      <c r="Q16" s="167"/>
      <c r="R16"/>
      <c r="S16" s="167"/>
      <c r="T16" s="114"/>
      <c r="U16" s="114"/>
      <c r="V16" s="114"/>
      <c r="W16" s="114"/>
      <c r="X16" s="114"/>
      <c r="Y16" s="114"/>
      <c r="Z16" s="114"/>
      <c r="AA16" s="114"/>
      <c r="AB16" s="114"/>
      <c r="AC16" s="114"/>
      <c r="AD16" s="114"/>
      <c r="AE16" s="114"/>
      <c r="AF16" s="114"/>
      <c r="AG16" s="114"/>
      <c r="AH16" s="114"/>
    </row>
    <row r="17" spans="1:34" s="115" customFormat="1" ht="15" customHeight="1" x14ac:dyDescent="0.25">
      <c r="A17" s="114"/>
      <c r="B17" s="116">
        <v>2007</v>
      </c>
      <c r="C17" s="224">
        <v>2588417</v>
      </c>
      <c r="D17" s="172">
        <v>169319000</v>
      </c>
      <c r="E17" s="250">
        <f>54405.069*1000</f>
        <v>54405069</v>
      </c>
      <c r="F17" s="251">
        <v>32633798</v>
      </c>
      <c r="G17" s="119">
        <f t="shared" si="4"/>
        <v>91.856729426502497</v>
      </c>
      <c r="H17" s="220">
        <f t="shared" si="5"/>
        <v>120.45515985373419</v>
      </c>
      <c r="I17" s="259">
        <f t="shared" si="6"/>
        <v>141.55886753361833</v>
      </c>
      <c r="J17" s="260">
        <f t="shared" si="7"/>
        <v>150.33654098419035</v>
      </c>
      <c r="K17" s="255">
        <f t="shared" si="1"/>
        <v>1.528722116242123</v>
      </c>
      <c r="L17" s="264">
        <f t="shared" si="2"/>
        <v>4.7576761643294674</v>
      </c>
      <c r="M17" s="264">
        <f t="shared" si="3"/>
        <v>7.931706263549219</v>
      </c>
      <c r="N17" s="114"/>
      <c r="O17" s="82"/>
      <c r="P17" s="167"/>
      <c r="Q17" s="167"/>
      <c r="R17"/>
      <c r="S17" s="167"/>
      <c r="T17" s="114"/>
      <c r="U17" s="114"/>
      <c r="V17" s="114"/>
      <c r="W17" s="114"/>
      <c r="X17" s="114"/>
      <c r="Y17" s="114"/>
      <c r="Z17" s="114"/>
      <c r="AA17" s="114"/>
      <c r="AB17" s="114"/>
      <c r="AC17" s="114"/>
      <c r="AD17" s="114"/>
      <c r="AE17" s="114"/>
      <c r="AF17" s="114"/>
      <c r="AG17" s="114"/>
      <c r="AH17" s="114"/>
    </row>
    <row r="18" spans="1:34" s="115" customFormat="1" ht="15" customHeight="1" x14ac:dyDescent="0.25">
      <c r="A18" s="114"/>
      <c r="B18" s="121">
        <v>2008</v>
      </c>
      <c r="C18" s="223">
        <v>2484680</v>
      </c>
      <c r="D18" s="171">
        <v>171983000</v>
      </c>
      <c r="E18" s="248">
        <f>55674.575*1000</f>
        <v>55674575</v>
      </c>
      <c r="F18" s="249">
        <v>35287296</v>
      </c>
      <c r="G18" s="122">
        <f t="shared" si="4"/>
        <v>88.175351371684798</v>
      </c>
      <c r="H18" s="219">
        <f t="shared" si="5"/>
        <v>122.35035499338389</v>
      </c>
      <c r="I18" s="257">
        <f t="shared" si="6"/>
        <v>144.86204929572827</v>
      </c>
      <c r="J18" s="258">
        <f t="shared" si="7"/>
        <v>162.56060729815317</v>
      </c>
      <c r="K18" s="254">
        <f t="shared" si="1"/>
        <v>1.4447241878557764</v>
      </c>
      <c r="L18" s="263">
        <f t="shared" si="2"/>
        <v>4.4628629854830502</v>
      </c>
      <c r="M18" s="263">
        <f t="shared" si="3"/>
        <v>7.0412876067352972</v>
      </c>
      <c r="N18" s="114"/>
      <c r="O18" s="82"/>
      <c r="P18" s="167"/>
      <c r="Q18" s="167"/>
      <c r="R18"/>
      <c r="S18" s="167"/>
      <c r="T18" s="114"/>
      <c r="U18" s="114"/>
      <c r="V18" s="114"/>
      <c r="W18" s="114"/>
      <c r="X18" s="114"/>
      <c r="Y18" s="114"/>
      <c r="Z18" s="114"/>
      <c r="AA18" s="114"/>
      <c r="AB18" s="114"/>
      <c r="AC18" s="114"/>
      <c r="AD18" s="114"/>
      <c r="AE18" s="114"/>
      <c r="AF18" s="114"/>
      <c r="AG18" s="114"/>
      <c r="AH18" s="114"/>
    </row>
    <row r="19" spans="1:34" s="115" customFormat="1" ht="15" customHeight="1" x14ac:dyDescent="0.25">
      <c r="A19" s="114"/>
      <c r="B19" s="116">
        <v>2009</v>
      </c>
      <c r="C19" s="224">
        <v>2281866</v>
      </c>
      <c r="D19" s="172">
        <v>168529000</v>
      </c>
      <c r="E19" s="250">
        <f>47512.618*1000</f>
        <v>47512618</v>
      </c>
      <c r="F19" s="251">
        <v>32017747</v>
      </c>
      <c r="G19" s="119">
        <f t="shared" si="4"/>
        <v>80.977967518191846</v>
      </c>
      <c r="H19" s="220">
        <f t="shared" si="5"/>
        <v>119.89314628003926</v>
      </c>
      <c r="I19" s="259">
        <f t="shared" si="6"/>
        <v>123.62510555105463</v>
      </c>
      <c r="J19" s="260">
        <f t="shared" si="7"/>
        <v>147.49853308790281</v>
      </c>
      <c r="K19" s="255">
        <f t="shared" si="1"/>
        <v>1.3539901144610127</v>
      </c>
      <c r="L19" s="264">
        <f t="shared" si="2"/>
        <v>4.8026526342960096</v>
      </c>
      <c r="M19" s="264">
        <f t="shared" si="3"/>
        <v>7.1268787276006647</v>
      </c>
      <c r="N19" s="114"/>
      <c r="O19" s="82"/>
      <c r="P19" s="167"/>
      <c r="Q19" s="167"/>
      <c r="R19"/>
      <c r="S19" s="167"/>
      <c r="T19" s="114"/>
      <c r="U19" s="114"/>
      <c r="V19" s="114"/>
      <c r="W19" s="114"/>
      <c r="X19" s="114"/>
      <c r="Y19" s="114"/>
      <c r="Z19" s="114"/>
      <c r="AA19" s="114"/>
      <c r="AB19" s="114"/>
      <c r="AC19" s="114"/>
      <c r="AD19" s="114"/>
      <c r="AE19" s="114"/>
      <c r="AF19" s="114"/>
      <c r="AG19" s="114"/>
      <c r="AH19" s="114"/>
    </row>
    <row r="20" spans="1:34" s="115" customFormat="1" ht="15" customHeight="1" x14ac:dyDescent="0.25">
      <c r="A20" s="114"/>
      <c r="B20" s="121">
        <v>2010</v>
      </c>
      <c r="C20" s="223">
        <v>2425899</v>
      </c>
      <c r="D20" s="171">
        <v>172859000</v>
      </c>
      <c r="E20" s="248">
        <f>53750.886*1000</f>
        <v>53750886</v>
      </c>
      <c r="F20" s="249">
        <v>39622139</v>
      </c>
      <c r="G20" s="122">
        <f t="shared" si="4"/>
        <v>86.089354249729851</v>
      </c>
      <c r="H20" s="219">
        <f t="shared" si="5"/>
        <v>122.97354979155699</v>
      </c>
      <c r="I20" s="257">
        <f t="shared" si="6"/>
        <v>139.85672090754301</v>
      </c>
      <c r="J20" s="258">
        <f t="shared" si="7"/>
        <v>182.53025049841841</v>
      </c>
      <c r="K20" s="254">
        <f t="shared" si="1"/>
        <v>1.4033975668030012</v>
      </c>
      <c r="L20" s="263">
        <f t="shared" si="2"/>
        <v>4.5132260703572404</v>
      </c>
      <c r="M20" s="263">
        <f t="shared" si="3"/>
        <v>6.122584648950931</v>
      </c>
      <c r="N20" s="114"/>
      <c r="O20" s="82"/>
      <c r="P20" s="167"/>
      <c r="Q20" s="167"/>
      <c r="R20"/>
      <c r="S20" s="167"/>
      <c r="T20" s="114"/>
      <c r="U20" s="114"/>
      <c r="V20" s="114"/>
      <c r="W20" s="114"/>
      <c r="X20" s="114"/>
      <c r="Y20" s="114"/>
      <c r="Z20" s="114"/>
      <c r="AA20" s="114"/>
      <c r="AB20" s="114"/>
      <c r="AC20" s="114"/>
      <c r="AD20" s="114"/>
      <c r="AE20" s="114"/>
      <c r="AF20" s="114"/>
      <c r="AG20" s="114"/>
      <c r="AH20" s="114"/>
    </row>
    <row r="21" spans="1:34" s="115" customFormat="1" ht="15" customHeight="1" x14ac:dyDescent="0.25">
      <c r="A21" s="114"/>
      <c r="B21" s="116">
        <v>2011</v>
      </c>
      <c r="C21" s="224">
        <v>2430491</v>
      </c>
      <c r="D21" s="172">
        <v>171126000</v>
      </c>
      <c r="E21" s="250">
        <f>60409.869*1000</f>
        <v>60409869</v>
      </c>
      <c r="F21" s="251">
        <v>43086515</v>
      </c>
      <c r="G21" s="119">
        <f t="shared" si="4"/>
        <v>86.252313348486538</v>
      </c>
      <c r="H21" s="220">
        <f t="shared" si="5"/>
        <v>121.74067697736295</v>
      </c>
      <c r="I21" s="259">
        <f t="shared" si="6"/>
        <v>157.18301255153699</v>
      </c>
      <c r="J21" s="260">
        <f t="shared" si="7"/>
        <v>198.48984871952175</v>
      </c>
      <c r="K21" s="255">
        <f t="shared" si="1"/>
        <v>1.420293234225074</v>
      </c>
      <c r="L21" s="264">
        <f t="shared" si="2"/>
        <v>4.0233343330044304</v>
      </c>
      <c r="M21" s="264">
        <f t="shared" si="3"/>
        <v>5.6409551805245792</v>
      </c>
      <c r="N21" s="114"/>
      <c r="O21" s="82"/>
      <c r="P21" s="167"/>
      <c r="Q21" s="167"/>
      <c r="R21"/>
      <c r="S21" s="167"/>
      <c r="T21" s="114"/>
      <c r="U21" s="114"/>
      <c r="V21" s="114"/>
      <c r="W21" s="114"/>
      <c r="X21" s="114"/>
      <c r="Y21" s="114"/>
      <c r="Z21" s="114"/>
      <c r="AA21" s="114"/>
      <c r="AB21" s="114"/>
      <c r="AC21" s="114"/>
      <c r="AD21" s="114"/>
      <c r="AE21" s="114"/>
      <c r="AF21" s="114"/>
      <c r="AG21" s="114"/>
      <c r="AH21" s="114"/>
    </row>
    <row r="22" spans="1:34" s="115" customFormat="1" ht="15" customHeight="1" x14ac:dyDescent="0.25">
      <c r="A22" s="114"/>
      <c r="B22" s="121">
        <v>2012</v>
      </c>
      <c r="C22" s="223">
        <v>2749461</v>
      </c>
      <c r="D22" s="171">
        <v>165107000</v>
      </c>
      <c r="E22" s="248">
        <f>63363.864*1000</f>
        <v>63363864</v>
      </c>
      <c r="F22" s="249">
        <v>47655795</v>
      </c>
      <c r="G22" s="122">
        <f t="shared" si="4"/>
        <v>97.57179586817773</v>
      </c>
      <c r="H22" s="219">
        <f t="shared" si="5"/>
        <v>117.45870267347722</v>
      </c>
      <c r="I22" s="257">
        <f t="shared" si="6"/>
        <v>164.86913802819012</v>
      </c>
      <c r="J22" s="258">
        <f t="shared" si="7"/>
        <v>219.53949025950558</v>
      </c>
      <c r="K22" s="254">
        <f t="shared" si="1"/>
        <v>1.6652601040537347</v>
      </c>
      <c r="L22" s="263">
        <f t="shared" si="2"/>
        <v>4.3391624601681489</v>
      </c>
      <c r="M22" s="263">
        <f t="shared" si="3"/>
        <v>5.7694158706197225</v>
      </c>
      <c r="N22" s="114"/>
      <c r="O22" s="82"/>
      <c r="P22" s="167"/>
      <c r="Q22" s="167"/>
      <c r="R22"/>
      <c r="S22" s="167"/>
      <c r="T22" s="114"/>
      <c r="U22" s="114"/>
      <c r="V22" s="114"/>
      <c r="W22" s="114"/>
      <c r="X22" s="114"/>
      <c r="Y22" s="114"/>
      <c r="Z22" s="114"/>
      <c r="AA22" s="114"/>
      <c r="AB22" s="114"/>
      <c r="AC22" s="114"/>
      <c r="AD22" s="114"/>
      <c r="AE22" s="114"/>
      <c r="AF22" s="114"/>
      <c r="AG22" s="114"/>
      <c r="AH22" s="114"/>
    </row>
    <row r="23" spans="1:34" s="115" customFormat="1" ht="15" customHeight="1" thickBot="1" x14ac:dyDescent="0.3">
      <c r="A23" s="114"/>
      <c r="B23" s="117">
        <v>2013</v>
      </c>
      <c r="C23" s="225">
        <v>3015777</v>
      </c>
      <c r="D23" s="173">
        <v>165666000</v>
      </c>
      <c r="E23" s="252">
        <f>67216.301*1000</f>
        <v>67216301</v>
      </c>
      <c r="F23" s="253">
        <v>30109086</v>
      </c>
      <c r="G23" s="120">
        <f t="shared" si="4"/>
        <v>107.02271384389357</v>
      </c>
      <c r="H23" s="221">
        <f t="shared" si="5"/>
        <v>117.85638063258541</v>
      </c>
      <c r="I23" s="261">
        <f t="shared" si="6"/>
        <v>174.89295803225281</v>
      </c>
      <c r="J23" s="262">
        <f t="shared" si="7"/>
        <v>138.70576270146401</v>
      </c>
      <c r="K23" s="256">
        <f t="shared" si="1"/>
        <v>1.8203958567237692</v>
      </c>
      <c r="L23" s="265">
        <f t="shared" si="2"/>
        <v>4.4866750403298745</v>
      </c>
      <c r="M23" s="265">
        <f t="shared" si="3"/>
        <v>10.016169205534835</v>
      </c>
      <c r="N23" s="114"/>
      <c r="O23" s="82"/>
      <c r="P23" s="167"/>
      <c r="Q23" s="167"/>
      <c r="R23"/>
      <c r="S23" s="167"/>
      <c r="T23" s="114"/>
      <c r="U23" s="114"/>
      <c r="V23" s="114"/>
      <c r="W23" s="114"/>
      <c r="X23" s="114"/>
      <c r="Y23" s="114"/>
      <c r="Z23" s="114"/>
      <c r="AA23" s="114"/>
      <c r="AB23" s="114"/>
      <c r="AC23" s="114"/>
      <c r="AD23" s="114"/>
      <c r="AE23" s="114"/>
      <c r="AF23" s="114"/>
      <c r="AG23" s="114"/>
      <c r="AH23" s="114"/>
    </row>
    <row r="24" spans="1:34" s="115" customFormat="1" ht="15" customHeight="1" x14ac:dyDescent="0.25">
      <c r="A24" s="114"/>
      <c r="B24" s="116"/>
      <c r="C24" s="372"/>
      <c r="D24" s="172"/>
      <c r="E24" s="250"/>
      <c r="F24" s="251"/>
      <c r="G24" s="373"/>
      <c r="H24" s="220"/>
      <c r="I24" s="259"/>
      <c r="J24" s="259"/>
      <c r="K24" s="255"/>
      <c r="L24" s="264"/>
      <c r="M24" s="264"/>
      <c r="N24" s="114"/>
      <c r="O24" s="82"/>
      <c r="P24" s="167"/>
      <c r="Q24" s="167"/>
      <c r="R24"/>
      <c r="S24" s="167"/>
      <c r="T24" s="114"/>
      <c r="U24" s="114"/>
      <c r="V24" s="114"/>
      <c r="W24" s="114"/>
      <c r="X24" s="114"/>
      <c r="Y24" s="114"/>
      <c r="Z24" s="114"/>
      <c r="AA24" s="114"/>
      <c r="AB24" s="114"/>
      <c r="AC24" s="114"/>
      <c r="AD24" s="114"/>
      <c r="AE24" s="114"/>
      <c r="AF24" s="114"/>
      <c r="AG24" s="114"/>
      <c r="AH24" s="114"/>
    </row>
    <row r="25" spans="1:34" ht="15" customHeight="1" x14ac:dyDescent="0.25">
      <c r="A25" s="71" t="s">
        <v>79</v>
      </c>
      <c r="B25" s="443" t="s">
        <v>328</v>
      </c>
      <c r="C25" s="444"/>
      <c r="D25" s="444"/>
      <c r="E25" s="444"/>
      <c r="F25" s="444"/>
      <c r="G25" s="444"/>
      <c r="H25" s="444"/>
      <c r="I25" s="444"/>
      <c r="J25" s="444"/>
      <c r="K25" s="444"/>
      <c r="L25" s="444"/>
      <c r="M25" s="444"/>
      <c r="N25" s="77"/>
      <c r="O25" s="77"/>
      <c r="P25" s="77"/>
      <c r="Q25" s="77"/>
      <c r="S25" s="77"/>
      <c r="T25" s="77"/>
      <c r="U25" s="77"/>
      <c r="V25" s="77"/>
      <c r="W25" s="77"/>
      <c r="X25" s="77"/>
      <c r="Y25" s="77"/>
      <c r="Z25" s="77"/>
      <c r="AA25" s="77"/>
      <c r="AB25" s="77"/>
      <c r="AC25" s="77"/>
      <c r="AD25" s="77"/>
      <c r="AE25" s="77"/>
      <c r="AF25" s="77"/>
      <c r="AG25" s="77"/>
      <c r="AH25" s="77"/>
    </row>
    <row r="26" spans="1:34" s="1" customFormat="1" ht="15" customHeight="1" x14ac:dyDescent="0.25">
      <c r="A26" s="123" t="s">
        <v>63</v>
      </c>
      <c r="B26" s="445" t="s">
        <v>327</v>
      </c>
      <c r="C26" s="445"/>
      <c r="D26" s="445"/>
      <c r="E26" s="445"/>
      <c r="F26" s="445"/>
      <c r="G26" s="445"/>
      <c r="H26" s="445"/>
      <c r="I26" s="445"/>
      <c r="J26" s="444"/>
      <c r="K26" s="444"/>
      <c r="L26" s="444"/>
      <c r="M26" s="444"/>
    </row>
    <row r="27" spans="1:34" s="1" customFormat="1" ht="15" customHeight="1" x14ac:dyDescent="0.25">
      <c r="A27" s="369" t="s">
        <v>282</v>
      </c>
      <c r="B27" s="421" t="s">
        <v>323</v>
      </c>
      <c r="C27" s="422"/>
      <c r="D27" s="422"/>
      <c r="E27" s="15"/>
      <c r="F27"/>
      <c r="G27"/>
    </row>
    <row r="28" spans="1:34" x14ac:dyDescent="0.25">
      <c r="A28" s="370" t="s">
        <v>4</v>
      </c>
      <c r="B28" s="497" t="s">
        <v>344</v>
      </c>
      <c r="C28" s="408"/>
      <c r="D28" s="410"/>
      <c r="E28" s="15"/>
      <c r="H28" s="1"/>
      <c r="I28" s="1"/>
      <c r="J28" s="1"/>
      <c r="K28" s="95"/>
      <c r="L28" s="95"/>
      <c r="M28" s="95"/>
      <c r="N28" s="77"/>
      <c r="O28" s="77"/>
      <c r="P28" s="77"/>
      <c r="Q28" s="77"/>
      <c r="S28" s="77"/>
      <c r="T28" s="77"/>
      <c r="U28" s="77"/>
      <c r="V28" s="77"/>
      <c r="W28" s="77"/>
      <c r="X28" s="77"/>
      <c r="Y28" s="77"/>
      <c r="Z28" s="77"/>
      <c r="AA28" s="77"/>
      <c r="AB28" s="77"/>
      <c r="AC28" s="77"/>
      <c r="AD28" s="77"/>
      <c r="AE28" s="77"/>
      <c r="AF28" s="77"/>
      <c r="AG28" s="77"/>
      <c r="AH28" s="77"/>
    </row>
    <row r="29" spans="1:34" x14ac:dyDescent="0.25">
      <c r="A29" s="77"/>
      <c r="B29" s="95"/>
      <c r="C29" s="95"/>
      <c r="D29" s="95"/>
      <c r="E29" s="95"/>
      <c r="F29" s="95"/>
      <c r="G29" s="95"/>
      <c r="H29" s="95"/>
      <c r="I29" s="95"/>
      <c r="J29" s="95"/>
      <c r="K29" s="95"/>
      <c r="L29" s="95"/>
      <c r="M29" s="95"/>
      <c r="N29" s="77"/>
      <c r="O29" s="77"/>
      <c r="P29" s="77"/>
      <c r="Q29" s="77"/>
      <c r="S29" s="77"/>
      <c r="T29" s="77"/>
      <c r="U29" s="77"/>
      <c r="V29" s="77"/>
      <c r="W29" s="77"/>
      <c r="X29" s="77"/>
      <c r="Y29" s="77"/>
      <c r="Z29" s="77"/>
      <c r="AA29" s="77"/>
      <c r="AB29" s="77"/>
      <c r="AC29" s="77"/>
      <c r="AD29" s="77"/>
      <c r="AE29" s="77"/>
      <c r="AF29" s="77"/>
      <c r="AG29" s="77"/>
      <c r="AH29" s="77"/>
    </row>
    <row r="30" spans="1:34" x14ac:dyDescent="0.25">
      <c r="A30" s="77"/>
      <c r="B30" s="95"/>
      <c r="C30" s="95"/>
      <c r="D30" s="95"/>
      <c r="E30" s="95"/>
      <c r="F30" s="95"/>
      <c r="G30" s="95"/>
      <c r="H30" s="95"/>
      <c r="I30" s="95"/>
      <c r="J30" s="95"/>
      <c r="K30" s="77"/>
      <c r="L30" s="77"/>
      <c r="M30" s="112"/>
      <c r="N30" s="77"/>
      <c r="O30" s="77"/>
      <c r="P30" s="77"/>
      <c r="Q30" s="77"/>
      <c r="S30" s="77"/>
      <c r="T30" s="77"/>
      <c r="U30" s="77"/>
      <c r="V30" s="77"/>
      <c r="W30" s="77"/>
      <c r="X30" s="77"/>
      <c r="Y30" s="77"/>
      <c r="Z30" s="77"/>
      <c r="AA30" s="77"/>
      <c r="AB30" s="77"/>
      <c r="AC30" s="77"/>
      <c r="AD30" s="77"/>
      <c r="AE30" s="77"/>
      <c r="AF30" s="77"/>
      <c r="AG30" s="77"/>
      <c r="AH30" s="77"/>
    </row>
    <row r="31" spans="1:34" x14ac:dyDescent="0.25">
      <c r="A31" s="77"/>
      <c r="B31" s="77"/>
      <c r="C31" s="77"/>
      <c r="D31" s="77"/>
      <c r="E31" s="77"/>
      <c r="F31" s="77"/>
      <c r="G31" s="77"/>
      <c r="H31" s="77"/>
      <c r="I31" s="77"/>
      <c r="J31" s="77"/>
      <c r="K31" s="77"/>
      <c r="L31" s="77"/>
      <c r="M31" s="112"/>
      <c r="N31" s="77"/>
      <c r="O31" s="77"/>
      <c r="P31" s="77"/>
      <c r="Q31" s="77"/>
      <c r="S31" s="77"/>
      <c r="T31" s="77"/>
      <c r="U31" s="77"/>
      <c r="V31" s="77"/>
      <c r="W31" s="77"/>
      <c r="X31" s="77"/>
      <c r="Y31" s="77"/>
      <c r="Z31" s="77"/>
      <c r="AA31" s="77"/>
      <c r="AB31" s="77"/>
      <c r="AC31" s="77"/>
      <c r="AD31" s="77"/>
      <c r="AE31" s="77"/>
      <c r="AF31" s="77"/>
      <c r="AG31" s="77"/>
      <c r="AH31" s="77"/>
    </row>
    <row r="32" spans="1:34" x14ac:dyDescent="0.25">
      <c r="A32" s="77"/>
      <c r="B32" s="77"/>
      <c r="C32" s="77"/>
      <c r="D32" s="77"/>
      <c r="E32" s="77"/>
      <c r="F32" s="77"/>
      <c r="G32" s="77"/>
      <c r="H32" s="77"/>
      <c r="I32" s="77"/>
      <c r="J32" s="77"/>
      <c r="K32" s="77"/>
      <c r="L32" s="77"/>
      <c r="M32" s="112"/>
      <c r="N32" s="77"/>
      <c r="O32" s="77"/>
      <c r="P32" s="77"/>
      <c r="Q32" s="77"/>
      <c r="S32" s="77"/>
      <c r="T32" s="77"/>
      <c r="U32" s="77"/>
      <c r="V32" s="77"/>
      <c r="W32" s="77"/>
      <c r="X32" s="77"/>
      <c r="Y32" s="77"/>
      <c r="Z32" s="77"/>
      <c r="AA32" s="77"/>
      <c r="AB32" s="77"/>
      <c r="AC32" s="77"/>
      <c r="AD32" s="77"/>
      <c r="AE32" s="77"/>
      <c r="AF32" s="77"/>
      <c r="AG32" s="77"/>
      <c r="AH32" s="77"/>
    </row>
    <row r="33" spans="1:34" x14ac:dyDescent="0.25">
      <c r="A33" s="77"/>
      <c r="B33" s="77"/>
      <c r="C33" s="77"/>
      <c r="D33" s="77"/>
      <c r="E33" s="77"/>
      <c r="F33" s="77"/>
      <c r="G33" s="77"/>
      <c r="H33" s="77"/>
      <c r="I33" s="77"/>
      <c r="J33" s="77"/>
      <c r="K33" s="77"/>
      <c r="L33" s="77"/>
      <c r="M33" s="112"/>
      <c r="N33" s="77"/>
      <c r="O33" s="77"/>
      <c r="P33" s="77"/>
      <c r="Q33" s="77"/>
      <c r="S33" s="77"/>
      <c r="T33" s="77"/>
      <c r="U33" s="77"/>
      <c r="V33" s="77"/>
      <c r="W33" s="77"/>
      <c r="X33" s="77"/>
      <c r="Y33" s="77"/>
      <c r="Z33" s="77"/>
      <c r="AA33" s="77"/>
      <c r="AB33" s="77"/>
      <c r="AC33" s="77"/>
      <c r="AD33" s="77"/>
      <c r="AE33" s="77"/>
      <c r="AF33" s="77"/>
      <c r="AG33" s="77"/>
      <c r="AH33" s="77"/>
    </row>
    <row r="34" spans="1:34" x14ac:dyDescent="0.25">
      <c r="A34" s="77"/>
      <c r="B34" s="77"/>
      <c r="C34" s="77"/>
      <c r="D34" s="77"/>
      <c r="E34" s="77"/>
      <c r="F34" s="77"/>
      <c r="G34" s="77"/>
      <c r="H34" s="77"/>
      <c r="I34" s="77"/>
      <c r="J34" s="77"/>
      <c r="K34" s="77"/>
      <c r="L34" s="77"/>
      <c r="M34" s="112"/>
      <c r="N34" s="77"/>
      <c r="O34" s="77"/>
      <c r="P34" s="77"/>
      <c r="Q34" s="77"/>
      <c r="S34" s="77"/>
      <c r="T34" s="77"/>
      <c r="U34" s="77"/>
      <c r="V34" s="77"/>
      <c r="W34" s="77"/>
      <c r="X34" s="77"/>
      <c r="Y34" s="77"/>
      <c r="Z34" s="77"/>
      <c r="AA34" s="77"/>
      <c r="AB34" s="77"/>
      <c r="AC34" s="77"/>
      <c r="AD34" s="77"/>
      <c r="AE34" s="77"/>
      <c r="AF34" s="77"/>
      <c r="AG34" s="77"/>
      <c r="AH34" s="77"/>
    </row>
    <row r="35" spans="1:34" x14ac:dyDescent="0.25">
      <c r="A35" s="77"/>
      <c r="B35" s="77"/>
      <c r="C35" s="77"/>
      <c r="D35" s="77"/>
      <c r="E35" s="77"/>
      <c r="F35" s="77"/>
      <c r="G35" s="77"/>
      <c r="H35" s="77"/>
      <c r="I35" s="77"/>
      <c r="J35" s="77"/>
      <c r="K35" s="77"/>
      <c r="L35" s="77"/>
      <c r="M35" s="112"/>
      <c r="N35" s="77"/>
      <c r="O35" s="77"/>
      <c r="P35" s="77"/>
      <c r="Q35" s="77"/>
      <c r="S35" s="77"/>
      <c r="T35" s="77"/>
      <c r="U35" s="77"/>
      <c r="V35" s="77"/>
      <c r="W35" s="77"/>
      <c r="X35" s="77"/>
      <c r="Y35" s="77"/>
      <c r="Z35" s="77"/>
      <c r="AA35" s="77"/>
      <c r="AB35" s="77"/>
      <c r="AC35" s="77"/>
      <c r="AD35" s="77"/>
      <c r="AE35" s="77"/>
      <c r="AF35" s="77"/>
      <c r="AG35" s="77"/>
      <c r="AH35" s="77"/>
    </row>
    <row r="36" spans="1:34" x14ac:dyDescent="0.25">
      <c r="A36" s="77"/>
      <c r="B36" s="77"/>
      <c r="C36" s="77"/>
      <c r="D36" s="77"/>
      <c r="E36" s="77"/>
      <c r="F36" s="77"/>
      <c r="G36" s="77"/>
      <c r="H36" s="77"/>
      <c r="I36" s="77"/>
      <c r="J36" s="77"/>
    </row>
  </sheetData>
  <mergeCells count="13">
    <mergeCell ref="B28:D28"/>
    <mergeCell ref="B27:D27"/>
    <mergeCell ref="B2:M2"/>
    <mergeCell ref="B3:M3"/>
    <mergeCell ref="B4:B5"/>
    <mergeCell ref="C4:C5"/>
    <mergeCell ref="D4:D5"/>
    <mergeCell ref="E4:E5"/>
    <mergeCell ref="F4:F5"/>
    <mergeCell ref="G4:J4"/>
    <mergeCell ref="K4:M4"/>
    <mergeCell ref="B25:M25"/>
    <mergeCell ref="B26:M26"/>
  </mergeCells>
  <hyperlinks>
    <hyperlink ref="M1" location="Índice!A1" display="[índice Ç]"/>
    <hyperlink ref="B28"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opLeftCell="A58" workbookViewId="0">
      <selection activeCell="D70" sqref="D70"/>
    </sheetView>
  </sheetViews>
  <sheetFormatPr defaultRowHeight="15" x14ac:dyDescent="0.25"/>
  <cols>
    <col min="1" max="1" width="12.7109375" customWidth="1"/>
    <col min="2" max="2" width="24.7109375" customWidth="1"/>
    <col min="3" max="15" width="12.7109375" customWidth="1"/>
  </cols>
  <sheetData>
    <row r="1" spans="1:15" s="15" customFormat="1" ht="30" customHeight="1" x14ac:dyDescent="0.25">
      <c r="A1" s="101" t="s">
        <v>0</v>
      </c>
      <c r="B1" s="25" t="s">
        <v>1</v>
      </c>
      <c r="C1" s="376"/>
      <c r="D1" s="376"/>
      <c r="E1" s="16"/>
      <c r="O1" s="228" t="s">
        <v>269</v>
      </c>
    </row>
    <row r="2" spans="1:15" s="78" customFormat="1" ht="30" customHeight="1" x14ac:dyDescent="0.25">
      <c r="B2" s="448" t="s">
        <v>288</v>
      </c>
      <c r="C2" s="449"/>
      <c r="D2" s="449"/>
      <c r="E2" s="449"/>
      <c r="F2" s="449"/>
      <c r="G2" s="449"/>
      <c r="H2" s="449"/>
      <c r="I2" s="449"/>
      <c r="J2" s="449"/>
      <c r="K2" s="449"/>
      <c r="L2" s="449"/>
      <c r="M2" s="449"/>
      <c r="N2" s="449"/>
      <c r="O2" s="449"/>
    </row>
    <row r="3" spans="1:15" s="78" customFormat="1" ht="15" customHeight="1" thickBot="1" x14ac:dyDescent="0.3">
      <c r="B3" s="446" t="s">
        <v>261</v>
      </c>
      <c r="C3" s="447"/>
      <c r="D3" s="447"/>
      <c r="E3" s="447"/>
      <c r="F3" s="447"/>
      <c r="G3" s="447"/>
      <c r="H3" s="447"/>
      <c r="I3" s="447"/>
      <c r="J3" s="447"/>
      <c r="K3" s="447"/>
      <c r="L3" s="447"/>
      <c r="M3" s="447"/>
      <c r="N3" s="447"/>
      <c r="O3" s="447"/>
    </row>
    <row r="4" spans="1:15" s="78" customFormat="1" ht="30" customHeight="1" x14ac:dyDescent="0.25">
      <c r="B4" s="79" t="s">
        <v>62</v>
      </c>
      <c r="C4" s="80">
        <v>2001</v>
      </c>
      <c r="D4" s="80">
        <v>2002</v>
      </c>
      <c r="E4" s="80">
        <v>2003</v>
      </c>
      <c r="F4" s="80">
        <v>2004</v>
      </c>
      <c r="G4" s="80">
        <v>2005</v>
      </c>
      <c r="H4" s="80">
        <v>2006</v>
      </c>
      <c r="I4" s="80">
        <v>2007</v>
      </c>
      <c r="J4" s="80">
        <v>2008</v>
      </c>
      <c r="K4" s="80">
        <v>2009</v>
      </c>
      <c r="L4" s="80">
        <v>2010</v>
      </c>
      <c r="M4" s="80">
        <v>2011</v>
      </c>
      <c r="N4" s="80">
        <v>2012</v>
      </c>
      <c r="O4" s="80">
        <v>2013</v>
      </c>
    </row>
    <row r="5" spans="1:15" s="78" customFormat="1" ht="30" customHeight="1" x14ac:dyDescent="0.25">
      <c r="B5" s="81" t="s">
        <v>10</v>
      </c>
      <c r="C5" s="82">
        <v>3736820</v>
      </c>
      <c r="D5" s="82">
        <v>2817885</v>
      </c>
      <c r="E5" s="82">
        <v>2433777</v>
      </c>
      <c r="F5" s="82">
        <v>2442164</v>
      </c>
      <c r="G5" s="82">
        <v>2277248</v>
      </c>
      <c r="H5" s="82">
        <v>2420267</v>
      </c>
      <c r="I5" s="82">
        <v>2588417</v>
      </c>
      <c r="J5" s="82">
        <v>2484680</v>
      </c>
      <c r="K5" s="82">
        <v>2281866</v>
      </c>
      <c r="L5" s="82">
        <v>2425899</v>
      </c>
      <c r="M5" s="82">
        <v>2430491</v>
      </c>
      <c r="N5" s="82">
        <v>2749461</v>
      </c>
      <c r="O5" s="82">
        <v>3015777</v>
      </c>
    </row>
    <row r="6" spans="1:15" s="77" customFormat="1" ht="15" customHeight="1" x14ac:dyDescent="0.25">
      <c r="A6" s="78"/>
      <c r="B6" s="72" t="s">
        <v>11</v>
      </c>
      <c r="C6" s="73">
        <v>12828</v>
      </c>
      <c r="D6" s="73">
        <v>8658</v>
      </c>
      <c r="E6" s="73">
        <v>8994</v>
      </c>
      <c r="F6" s="73">
        <v>14168</v>
      </c>
      <c r="G6" s="73">
        <v>5543</v>
      </c>
      <c r="H6" s="73">
        <v>6844</v>
      </c>
      <c r="I6" s="73">
        <v>7921</v>
      </c>
      <c r="J6" s="73">
        <v>9852</v>
      </c>
      <c r="K6" s="73">
        <v>5108</v>
      </c>
      <c r="L6" s="73">
        <v>6708</v>
      </c>
      <c r="M6" s="73">
        <v>8196</v>
      </c>
      <c r="N6" s="73">
        <v>7857</v>
      </c>
      <c r="O6" s="73">
        <v>6558</v>
      </c>
    </row>
    <row r="7" spans="1:15" s="77" customFormat="1" ht="15" customHeight="1" x14ac:dyDescent="0.25">
      <c r="A7" s="78"/>
      <c r="B7" s="74" t="s">
        <v>12</v>
      </c>
      <c r="C7" s="75">
        <v>325243</v>
      </c>
      <c r="D7" s="75">
        <v>205805</v>
      </c>
      <c r="E7" s="75">
        <v>205644</v>
      </c>
      <c r="F7" s="75">
        <v>178783</v>
      </c>
      <c r="G7" s="75">
        <v>164517</v>
      </c>
      <c r="H7" s="75">
        <v>168902</v>
      </c>
      <c r="I7" s="75">
        <v>170562</v>
      </c>
      <c r="J7" s="75">
        <v>147660</v>
      </c>
      <c r="K7" s="75">
        <v>120865</v>
      </c>
      <c r="L7" s="75">
        <v>120416</v>
      </c>
      <c r="M7" s="75">
        <v>113420</v>
      </c>
      <c r="N7" s="75">
        <v>172943</v>
      </c>
      <c r="O7" s="75">
        <v>197247</v>
      </c>
    </row>
    <row r="8" spans="1:15" s="77" customFormat="1" ht="15" customHeight="1" x14ac:dyDescent="0.25">
      <c r="A8" s="78"/>
      <c r="B8" s="72" t="s">
        <v>13</v>
      </c>
      <c r="C8" s="73">
        <v>8789</v>
      </c>
      <c r="D8" s="73">
        <v>14280</v>
      </c>
      <c r="E8" s="73">
        <v>9446</v>
      </c>
      <c r="F8" s="73">
        <v>20641</v>
      </c>
      <c r="G8" s="73">
        <v>23354</v>
      </c>
      <c r="H8" s="73">
        <v>32946</v>
      </c>
      <c r="I8" s="73">
        <v>48114</v>
      </c>
      <c r="J8" s="73">
        <v>70862</v>
      </c>
      <c r="K8" s="73">
        <v>103475</v>
      </c>
      <c r="L8" s="73">
        <v>134874</v>
      </c>
      <c r="M8" s="73">
        <v>147322</v>
      </c>
      <c r="N8" s="73">
        <v>270687</v>
      </c>
      <c r="O8" s="73">
        <v>304328</v>
      </c>
    </row>
    <row r="9" spans="1:15" s="77" customFormat="1" ht="15" customHeight="1" x14ac:dyDescent="0.25">
      <c r="A9" s="78"/>
      <c r="B9" s="74" t="s">
        <v>14</v>
      </c>
      <c r="C9" s="75">
        <v>394</v>
      </c>
      <c r="D9" s="75">
        <v>42</v>
      </c>
      <c r="E9" s="75">
        <v>103</v>
      </c>
      <c r="F9" s="75">
        <v>324</v>
      </c>
      <c r="G9" s="75">
        <v>110</v>
      </c>
      <c r="H9" s="75">
        <v>88</v>
      </c>
      <c r="I9" s="75">
        <v>115</v>
      </c>
      <c r="J9" s="75">
        <v>234</v>
      </c>
      <c r="K9" s="75">
        <v>420</v>
      </c>
      <c r="L9" s="75">
        <v>652</v>
      </c>
      <c r="M9" s="75">
        <v>792</v>
      </c>
      <c r="N9" s="75">
        <v>588</v>
      </c>
      <c r="O9" s="75">
        <v>826</v>
      </c>
    </row>
    <row r="10" spans="1:15" s="77" customFormat="1" ht="15" customHeight="1" x14ac:dyDescent="0.25">
      <c r="A10" s="78"/>
      <c r="B10" s="72" t="s">
        <v>15</v>
      </c>
      <c r="C10" s="73">
        <v>102</v>
      </c>
      <c r="D10" s="73">
        <v>31</v>
      </c>
      <c r="E10" s="73">
        <v>71</v>
      </c>
      <c r="F10" s="73">
        <v>28</v>
      </c>
      <c r="G10" s="73">
        <v>8</v>
      </c>
      <c r="H10" s="73">
        <v>86</v>
      </c>
      <c r="I10" s="73">
        <v>24</v>
      </c>
      <c r="J10" s="73">
        <v>31</v>
      </c>
      <c r="K10" s="73">
        <v>72</v>
      </c>
      <c r="L10" s="73">
        <v>54</v>
      </c>
      <c r="M10" s="73">
        <v>60</v>
      </c>
      <c r="N10" s="73">
        <v>47</v>
      </c>
      <c r="O10" s="73">
        <v>42</v>
      </c>
    </row>
    <row r="11" spans="1:15" s="77" customFormat="1" ht="15" customHeight="1" x14ac:dyDescent="0.25">
      <c r="A11" s="78"/>
      <c r="B11" s="74" t="s">
        <v>16</v>
      </c>
      <c r="C11" s="75">
        <v>234</v>
      </c>
      <c r="D11" s="75">
        <v>74</v>
      </c>
      <c r="E11" s="75">
        <v>105</v>
      </c>
      <c r="F11" s="75">
        <v>119</v>
      </c>
      <c r="G11" s="75">
        <v>34</v>
      </c>
      <c r="H11" s="75">
        <v>26</v>
      </c>
      <c r="I11" s="75">
        <v>93</v>
      </c>
      <c r="J11" s="75">
        <v>308</v>
      </c>
      <c r="K11" s="75">
        <v>1002</v>
      </c>
      <c r="L11" s="75">
        <v>1024</v>
      </c>
      <c r="M11" s="75">
        <v>329</v>
      </c>
      <c r="N11" s="75">
        <v>388</v>
      </c>
      <c r="O11" s="75">
        <v>449</v>
      </c>
    </row>
    <row r="12" spans="1:15" s="77" customFormat="1" ht="15" customHeight="1" x14ac:dyDescent="0.25">
      <c r="A12" s="78"/>
      <c r="B12" s="72" t="s">
        <v>17</v>
      </c>
      <c r="C12" s="73">
        <v>7786</v>
      </c>
      <c r="D12" s="73">
        <v>5741</v>
      </c>
      <c r="E12" s="73">
        <v>9423</v>
      </c>
      <c r="F12" s="73">
        <v>6863</v>
      </c>
      <c r="G12" s="73">
        <v>5309</v>
      </c>
      <c r="H12" s="73">
        <v>3884</v>
      </c>
      <c r="I12" s="73">
        <v>3687</v>
      </c>
      <c r="J12" s="73">
        <v>2612</v>
      </c>
      <c r="K12" s="73">
        <v>3798</v>
      </c>
      <c r="L12" s="73">
        <v>3192</v>
      </c>
      <c r="M12" s="73">
        <v>2975</v>
      </c>
      <c r="N12" s="73">
        <v>4168</v>
      </c>
      <c r="O12" s="73">
        <v>3221</v>
      </c>
    </row>
    <row r="13" spans="1:15" s="77" customFormat="1" ht="15" customHeight="1" x14ac:dyDescent="0.25">
      <c r="A13" s="78"/>
      <c r="B13" s="74" t="s">
        <v>18</v>
      </c>
      <c r="C13" s="75">
        <v>1734</v>
      </c>
      <c r="D13" s="75">
        <v>1930</v>
      </c>
      <c r="E13" s="75">
        <v>1253</v>
      </c>
      <c r="F13" s="75">
        <v>3404</v>
      </c>
      <c r="G13" s="75">
        <v>1037</v>
      </c>
      <c r="H13" s="75">
        <v>1420</v>
      </c>
      <c r="I13" s="75">
        <v>3691</v>
      </c>
      <c r="J13" s="75">
        <v>3590</v>
      </c>
      <c r="K13" s="75">
        <v>3981</v>
      </c>
      <c r="L13" s="75">
        <v>6079</v>
      </c>
      <c r="M13" s="75">
        <v>6975</v>
      </c>
      <c r="N13" s="75">
        <v>7729</v>
      </c>
      <c r="O13" s="75">
        <v>9167</v>
      </c>
    </row>
    <row r="14" spans="1:15" s="77" customFormat="1" ht="15" customHeight="1" x14ac:dyDescent="0.25">
      <c r="A14" s="78"/>
      <c r="B14" s="72" t="s">
        <v>19</v>
      </c>
      <c r="C14" s="73" t="s">
        <v>131</v>
      </c>
      <c r="D14" s="73">
        <v>27392</v>
      </c>
      <c r="E14" s="73">
        <v>25191</v>
      </c>
      <c r="F14" s="73">
        <v>21470</v>
      </c>
      <c r="G14" s="73">
        <v>20610</v>
      </c>
      <c r="H14" s="73">
        <v>28248</v>
      </c>
      <c r="I14" s="73">
        <v>37890</v>
      </c>
      <c r="J14" s="73">
        <v>35669</v>
      </c>
      <c r="K14" s="73">
        <v>30986</v>
      </c>
      <c r="L14" s="73">
        <v>34417</v>
      </c>
      <c r="M14" s="73">
        <v>38081</v>
      </c>
      <c r="N14" s="73">
        <v>52019</v>
      </c>
      <c r="O14" s="73">
        <v>67205</v>
      </c>
    </row>
    <row r="15" spans="1:15" s="77" customFormat="1" ht="15" customHeight="1" x14ac:dyDescent="0.25">
      <c r="A15" s="78"/>
      <c r="B15" s="74" t="s">
        <v>20</v>
      </c>
      <c r="C15" s="75">
        <v>14128</v>
      </c>
      <c r="D15" s="75">
        <v>16261</v>
      </c>
      <c r="E15" s="75">
        <v>9480</v>
      </c>
      <c r="F15" s="75">
        <v>6578</v>
      </c>
      <c r="G15" s="75">
        <v>8865</v>
      </c>
      <c r="H15" s="75">
        <v>8187</v>
      </c>
      <c r="I15" s="75">
        <v>7805</v>
      </c>
      <c r="J15" s="75">
        <v>9757</v>
      </c>
      <c r="K15" s="75">
        <v>8909</v>
      </c>
      <c r="L15" s="75">
        <v>10594</v>
      </c>
      <c r="M15" s="75">
        <v>8734</v>
      </c>
      <c r="N15" s="75">
        <v>10733</v>
      </c>
      <c r="O15" s="75">
        <v>16524</v>
      </c>
    </row>
    <row r="16" spans="1:15" s="77" customFormat="1" ht="15" customHeight="1" x14ac:dyDescent="0.25">
      <c r="A16" s="78"/>
      <c r="B16" s="72" t="s">
        <v>21</v>
      </c>
      <c r="C16" s="73">
        <v>21</v>
      </c>
      <c r="D16" s="73">
        <v>38</v>
      </c>
      <c r="E16" s="73">
        <v>25</v>
      </c>
      <c r="F16" s="73">
        <v>9</v>
      </c>
      <c r="G16" s="73">
        <v>15</v>
      </c>
      <c r="H16" s="73">
        <v>24</v>
      </c>
      <c r="I16" s="73">
        <v>83</v>
      </c>
      <c r="J16" s="73">
        <v>96</v>
      </c>
      <c r="K16" s="73">
        <v>127</v>
      </c>
      <c r="L16" s="73">
        <v>293</v>
      </c>
      <c r="M16" s="73">
        <v>193</v>
      </c>
      <c r="N16" s="73">
        <v>256</v>
      </c>
      <c r="O16" s="73">
        <v>527</v>
      </c>
    </row>
    <row r="17" spans="1:15" s="77" customFormat="1" ht="15" customHeight="1" x14ac:dyDescent="0.25">
      <c r="A17" s="78"/>
      <c r="B17" s="74" t="s">
        <v>22</v>
      </c>
      <c r="C17" s="75">
        <v>1055</v>
      </c>
      <c r="D17" s="75">
        <v>1370</v>
      </c>
      <c r="E17" s="75">
        <v>1712</v>
      </c>
      <c r="F17" s="75">
        <v>3010</v>
      </c>
      <c r="G17" s="75">
        <v>2024</v>
      </c>
      <c r="H17" s="75">
        <v>2879</v>
      </c>
      <c r="I17" s="75">
        <v>2597</v>
      </c>
      <c r="J17" s="75">
        <v>2150</v>
      </c>
      <c r="K17" s="75">
        <v>2455</v>
      </c>
      <c r="L17" s="75">
        <v>3122</v>
      </c>
      <c r="M17" s="75">
        <v>2833</v>
      </c>
      <c r="N17" s="75">
        <v>2389</v>
      </c>
      <c r="O17" s="75">
        <v>3438</v>
      </c>
    </row>
    <row r="18" spans="1:15" s="77" customFormat="1" ht="15" customHeight="1" x14ac:dyDescent="0.25">
      <c r="A18" s="78"/>
      <c r="B18" s="72" t="s">
        <v>23</v>
      </c>
      <c r="C18" s="73">
        <v>114684</v>
      </c>
      <c r="D18" s="73">
        <v>91100</v>
      </c>
      <c r="E18" s="73">
        <v>83157</v>
      </c>
      <c r="F18" s="73">
        <v>73946</v>
      </c>
      <c r="G18" s="73">
        <v>73305</v>
      </c>
      <c r="H18" s="73">
        <v>68495</v>
      </c>
      <c r="I18" s="73">
        <v>76411</v>
      </c>
      <c r="J18" s="73">
        <v>56762</v>
      </c>
      <c r="K18" s="73">
        <v>41870</v>
      </c>
      <c r="L18" s="73">
        <v>46248</v>
      </c>
      <c r="M18" s="73">
        <v>40223</v>
      </c>
      <c r="N18" s="73">
        <v>45900</v>
      </c>
      <c r="O18" s="73">
        <v>42792</v>
      </c>
    </row>
    <row r="19" spans="1:15" s="77" customFormat="1" ht="15" customHeight="1" x14ac:dyDescent="0.25">
      <c r="A19" s="78"/>
      <c r="B19" s="74" t="s">
        <v>24</v>
      </c>
      <c r="C19" s="75">
        <v>111</v>
      </c>
      <c r="D19" s="75">
        <v>97</v>
      </c>
      <c r="E19" s="75">
        <v>199</v>
      </c>
      <c r="F19" s="75">
        <v>377</v>
      </c>
      <c r="G19" s="75">
        <v>342</v>
      </c>
      <c r="H19" s="75">
        <v>30</v>
      </c>
      <c r="I19" s="75">
        <v>280</v>
      </c>
      <c r="J19" s="75">
        <v>270</v>
      </c>
      <c r="K19" s="75">
        <v>485</v>
      </c>
      <c r="L19" s="75">
        <v>1389</v>
      </c>
      <c r="M19" s="75">
        <v>491</v>
      </c>
      <c r="N19" s="75">
        <v>580</v>
      </c>
      <c r="O19" s="75">
        <v>1669</v>
      </c>
    </row>
    <row r="20" spans="1:15" s="77" customFormat="1" ht="15" customHeight="1" x14ac:dyDescent="0.25">
      <c r="A20" s="78"/>
      <c r="B20" s="72" t="s">
        <v>25</v>
      </c>
      <c r="C20" s="73">
        <v>445</v>
      </c>
      <c r="D20" s="73">
        <v>431</v>
      </c>
      <c r="E20" s="73">
        <v>170</v>
      </c>
      <c r="F20" s="73">
        <v>148</v>
      </c>
      <c r="G20" s="73">
        <v>213</v>
      </c>
      <c r="H20" s="73">
        <v>154</v>
      </c>
      <c r="I20" s="73">
        <v>492</v>
      </c>
      <c r="J20" s="73">
        <v>550</v>
      </c>
      <c r="K20" s="73">
        <v>881</v>
      </c>
      <c r="L20" s="73">
        <v>655</v>
      </c>
      <c r="M20" s="73">
        <v>961</v>
      </c>
      <c r="N20" s="73">
        <v>1246</v>
      </c>
      <c r="O20" s="73">
        <v>982</v>
      </c>
    </row>
    <row r="21" spans="1:15" s="127" customFormat="1" ht="15" customHeight="1" x14ac:dyDescent="0.25">
      <c r="A21" s="124"/>
      <c r="B21" s="125" t="s">
        <v>26</v>
      </c>
      <c r="C21" s="126" t="s">
        <v>131</v>
      </c>
      <c r="D21" s="126" t="s">
        <v>131</v>
      </c>
      <c r="E21" s="126" t="s">
        <v>131</v>
      </c>
      <c r="F21" s="126" t="s">
        <v>131</v>
      </c>
      <c r="G21" s="126" t="s">
        <v>131</v>
      </c>
      <c r="H21" s="126" t="s">
        <v>131</v>
      </c>
      <c r="I21" s="126" t="s">
        <v>131</v>
      </c>
      <c r="J21" s="126" t="s">
        <v>131</v>
      </c>
      <c r="K21" s="126" t="s">
        <v>131</v>
      </c>
      <c r="L21" s="126" t="s">
        <v>131</v>
      </c>
      <c r="M21" s="126" t="s">
        <v>131</v>
      </c>
      <c r="N21" s="126" t="s">
        <v>131</v>
      </c>
      <c r="O21" s="126">
        <v>50</v>
      </c>
    </row>
    <row r="22" spans="1:15" s="77" customFormat="1" ht="15" customHeight="1" x14ac:dyDescent="0.25">
      <c r="A22" s="78"/>
      <c r="B22" s="72" t="s">
        <v>283</v>
      </c>
      <c r="C22" s="73">
        <v>36</v>
      </c>
      <c r="D22" s="73">
        <v>12</v>
      </c>
      <c r="E22" s="73">
        <v>80</v>
      </c>
      <c r="F22" s="73">
        <v>69</v>
      </c>
      <c r="G22" s="73">
        <v>69</v>
      </c>
      <c r="H22" s="73">
        <v>35</v>
      </c>
      <c r="I22" s="73">
        <v>265</v>
      </c>
      <c r="J22" s="73">
        <v>100</v>
      </c>
      <c r="K22" s="73">
        <v>123</v>
      </c>
      <c r="L22" s="73">
        <v>113</v>
      </c>
      <c r="M22" s="73">
        <v>123</v>
      </c>
      <c r="N22" s="73">
        <v>135</v>
      </c>
      <c r="O22" s="73">
        <v>99</v>
      </c>
    </row>
    <row r="23" spans="1:15" s="77" customFormat="1" ht="15" customHeight="1" x14ac:dyDescent="0.25">
      <c r="A23" s="78"/>
      <c r="B23" s="74" t="s">
        <v>27</v>
      </c>
      <c r="C23" s="75">
        <v>7447</v>
      </c>
      <c r="D23" s="75">
        <v>4359</v>
      </c>
      <c r="E23" s="75">
        <v>3156</v>
      </c>
      <c r="F23" s="75">
        <v>3734</v>
      </c>
      <c r="G23" s="75">
        <v>2276</v>
      </c>
      <c r="H23" s="75">
        <v>3049</v>
      </c>
      <c r="I23" s="75">
        <v>3414</v>
      </c>
      <c r="J23" s="75">
        <v>3284</v>
      </c>
      <c r="K23" s="75">
        <v>3899</v>
      </c>
      <c r="L23" s="75">
        <v>4630</v>
      </c>
      <c r="M23" s="75">
        <v>3204</v>
      </c>
      <c r="N23" s="75">
        <v>4610</v>
      </c>
      <c r="O23" s="75">
        <v>6024</v>
      </c>
    </row>
    <row r="24" spans="1:15" s="77" customFormat="1" ht="15" customHeight="1" x14ac:dyDescent="0.25">
      <c r="A24" s="78"/>
      <c r="B24" s="72" t="s">
        <v>284</v>
      </c>
      <c r="C24" s="73">
        <v>69</v>
      </c>
      <c r="D24" s="73">
        <v>74</v>
      </c>
      <c r="E24" s="73">
        <v>23</v>
      </c>
      <c r="F24" s="73">
        <v>24</v>
      </c>
      <c r="G24" s="73">
        <v>17</v>
      </c>
      <c r="H24" s="73">
        <v>57</v>
      </c>
      <c r="I24" s="73">
        <v>130</v>
      </c>
      <c r="J24" s="73">
        <v>69</v>
      </c>
      <c r="K24" s="73">
        <v>330</v>
      </c>
      <c r="L24" s="73">
        <v>138</v>
      </c>
      <c r="M24" s="73">
        <v>364</v>
      </c>
      <c r="N24" s="73">
        <v>366</v>
      </c>
      <c r="O24" s="73">
        <v>180</v>
      </c>
    </row>
    <row r="25" spans="1:15" s="77" customFormat="1" ht="15" customHeight="1" x14ac:dyDescent="0.25">
      <c r="A25" s="78"/>
      <c r="B25" s="74" t="s">
        <v>28</v>
      </c>
      <c r="C25" s="75">
        <v>3</v>
      </c>
      <c r="D25" s="75">
        <v>6</v>
      </c>
      <c r="E25" s="75">
        <v>7</v>
      </c>
      <c r="F25" s="75">
        <v>42</v>
      </c>
      <c r="G25" s="75">
        <v>8</v>
      </c>
      <c r="H25" s="75">
        <v>43</v>
      </c>
      <c r="I25" s="75">
        <v>93</v>
      </c>
      <c r="J25" s="75">
        <v>164</v>
      </c>
      <c r="K25" s="75">
        <v>149</v>
      </c>
      <c r="L25" s="75">
        <v>158</v>
      </c>
      <c r="M25" s="75">
        <v>246</v>
      </c>
      <c r="N25" s="75">
        <v>352</v>
      </c>
      <c r="O25" s="75">
        <v>573</v>
      </c>
    </row>
    <row r="26" spans="1:15" s="77" customFormat="1" ht="15" customHeight="1" x14ac:dyDescent="0.25">
      <c r="A26" s="78"/>
      <c r="B26" s="72" t="s">
        <v>29</v>
      </c>
      <c r="C26" s="73">
        <v>16</v>
      </c>
      <c r="D26" s="73">
        <v>54</v>
      </c>
      <c r="E26" s="73">
        <v>44</v>
      </c>
      <c r="F26" s="73">
        <v>52</v>
      </c>
      <c r="G26" s="73">
        <v>27</v>
      </c>
      <c r="H26" s="73">
        <v>30</v>
      </c>
      <c r="I26" s="73">
        <v>81</v>
      </c>
      <c r="J26" s="73">
        <v>146</v>
      </c>
      <c r="K26" s="73">
        <v>134</v>
      </c>
      <c r="L26" s="73">
        <v>175</v>
      </c>
      <c r="M26" s="73">
        <v>163</v>
      </c>
      <c r="N26" s="73">
        <v>239</v>
      </c>
      <c r="O26" s="73">
        <v>398</v>
      </c>
    </row>
    <row r="27" spans="1:15" s="77" customFormat="1" ht="15" customHeight="1" x14ac:dyDescent="0.25">
      <c r="A27" s="78"/>
      <c r="B27" s="74" t="s">
        <v>30</v>
      </c>
      <c r="C27" s="75">
        <v>58193</v>
      </c>
      <c r="D27" s="75">
        <v>77950</v>
      </c>
      <c r="E27" s="75">
        <v>69892</v>
      </c>
      <c r="F27" s="75">
        <v>60971</v>
      </c>
      <c r="G27" s="75">
        <v>51557</v>
      </c>
      <c r="H27" s="75">
        <v>61812</v>
      </c>
      <c r="I27" s="75">
        <v>96694</v>
      </c>
      <c r="J27" s="75">
        <v>126233</v>
      </c>
      <c r="K27" s="75">
        <v>123816</v>
      </c>
      <c r="L27" s="75">
        <v>111033</v>
      </c>
      <c r="M27" s="75">
        <v>88409</v>
      </c>
      <c r="N27" s="75">
        <v>129910</v>
      </c>
      <c r="O27" s="75">
        <v>156697</v>
      </c>
    </row>
    <row r="28" spans="1:15" s="77" customFormat="1" ht="15" customHeight="1" x14ac:dyDescent="0.25">
      <c r="A28" s="78"/>
      <c r="B28" s="72" t="s">
        <v>31</v>
      </c>
      <c r="C28" s="73">
        <v>394582</v>
      </c>
      <c r="D28" s="73">
        <v>372451</v>
      </c>
      <c r="E28" s="73">
        <v>272122</v>
      </c>
      <c r="F28" s="73">
        <v>231901</v>
      </c>
      <c r="G28" s="73">
        <v>218369</v>
      </c>
      <c r="H28" s="73">
        <v>223004</v>
      </c>
      <c r="I28" s="73">
        <v>200638</v>
      </c>
      <c r="J28" s="73">
        <v>171462</v>
      </c>
      <c r="K28" s="73">
        <v>127275</v>
      </c>
      <c r="L28" s="73">
        <v>129980</v>
      </c>
      <c r="M28" s="73">
        <v>130423</v>
      </c>
      <c r="N28" s="73">
        <v>135553</v>
      </c>
      <c r="O28" s="73">
        <v>140320</v>
      </c>
    </row>
    <row r="29" spans="1:15" s="77" customFormat="1" ht="15" customHeight="1" x14ac:dyDescent="0.25">
      <c r="A29" s="78"/>
      <c r="B29" s="74" t="s">
        <v>32</v>
      </c>
      <c r="C29" s="75" t="s">
        <v>131</v>
      </c>
      <c r="D29" s="75">
        <v>12</v>
      </c>
      <c r="E29" s="75">
        <v>9</v>
      </c>
      <c r="F29" s="75">
        <v>9</v>
      </c>
      <c r="G29" s="75">
        <v>12</v>
      </c>
      <c r="H29" s="75">
        <v>22</v>
      </c>
      <c r="I29" s="75">
        <v>98</v>
      </c>
      <c r="J29" s="75">
        <v>88</v>
      </c>
      <c r="K29" s="75">
        <v>107</v>
      </c>
      <c r="L29" s="75">
        <v>164</v>
      </c>
      <c r="M29" s="75">
        <v>156</v>
      </c>
      <c r="N29" s="75">
        <v>280</v>
      </c>
      <c r="O29" s="75">
        <v>673</v>
      </c>
    </row>
    <row r="30" spans="1:15" s="77" customFormat="1" ht="15" customHeight="1" x14ac:dyDescent="0.25">
      <c r="A30" s="78"/>
      <c r="B30" s="72" t="s">
        <v>33</v>
      </c>
      <c r="C30" s="73">
        <v>417</v>
      </c>
      <c r="D30" s="73">
        <v>693</v>
      </c>
      <c r="E30" s="73">
        <v>1047</v>
      </c>
      <c r="F30" s="73">
        <v>694</v>
      </c>
      <c r="G30" s="73">
        <v>323</v>
      </c>
      <c r="H30" s="73">
        <v>538</v>
      </c>
      <c r="I30" s="73">
        <v>1550</v>
      </c>
      <c r="J30" s="73">
        <v>1579</v>
      </c>
      <c r="K30" s="73">
        <v>2473</v>
      </c>
      <c r="L30" s="73">
        <v>2870</v>
      </c>
      <c r="M30" s="73">
        <v>2717</v>
      </c>
      <c r="N30" s="73">
        <v>2569</v>
      </c>
      <c r="O30" s="73">
        <v>3800</v>
      </c>
    </row>
    <row r="31" spans="1:15" s="77" customFormat="1" ht="15" customHeight="1" x14ac:dyDescent="0.25">
      <c r="A31" s="78"/>
      <c r="B31" s="74" t="s">
        <v>34</v>
      </c>
      <c r="C31" s="75">
        <v>1520421</v>
      </c>
      <c r="D31" s="75">
        <v>934480</v>
      </c>
      <c r="E31" s="75">
        <v>886090</v>
      </c>
      <c r="F31" s="75">
        <v>964129</v>
      </c>
      <c r="G31" s="75">
        <v>908869</v>
      </c>
      <c r="H31" s="75">
        <v>978951</v>
      </c>
      <c r="I31" s="75">
        <v>1026187</v>
      </c>
      <c r="J31" s="75">
        <v>983034</v>
      </c>
      <c r="K31" s="75">
        <v>887445</v>
      </c>
      <c r="L31" s="75">
        <v>899158</v>
      </c>
      <c r="M31" s="75">
        <v>867606</v>
      </c>
      <c r="N31" s="75">
        <v>846149</v>
      </c>
      <c r="O31" s="75">
        <v>894932</v>
      </c>
    </row>
    <row r="32" spans="1:15" s="77" customFormat="1" ht="15" customHeight="1" x14ac:dyDescent="0.25">
      <c r="A32" s="78"/>
      <c r="B32" s="72" t="s">
        <v>35</v>
      </c>
      <c r="C32" s="73">
        <v>646</v>
      </c>
      <c r="D32" s="73">
        <v>540</v>
      </c>
      <c r="E32" s="73">
        <v>419</v>
      </c>
      <c r="F32" s="73">
        <v>271</v>
      </c>
      <c r="G32" s="73">
        <v>237</v>
      </c>
      <c r="H32" s="73">
        <v>329</v>
      </c>
      <c r="I32" s="73">
        <v>1067</v>
      </c>
      <c r="J32" s="73">
        <v>1153</v>
      </c>
      <c r="K32" s="73">
        <v>1188</v>
      </c>
      <c r="L32" s="73">
        <v>1316</v>
      </c>
      <c r="M32" s="73">
        <v>928</v>
      </c>
      <c r="N32" s="73">
        <v>1218</v>
      </c>
      <c r="O32" s="73">
        <v>1118</v>
      </c>
    </row>
    <row r="33" spans="1:15" s="77" customFormat="1" ht="15" customHeight="1" x14ac:dyDescent="0.25">
      <c r="A33" s="78"/>
      <c r="B33" s="74" t="s">
        <v>36</v>
      </c>
      <c r="C33" s="75">
        <v>70</v>
      </c>
      <c r="D33" s="75">
        <v>135</v>
      </c>
      <c r="E33" s="75">
        <v>110</v>
      </c>
      <c r="F33" s="75">
        <v>36</v>
      </c>
      <c r="G33" s="75">
        <v>24</v>
      </c>
      <c r="H33" s="75">
        <v>5</v>
      </c>
      <c r="I33" s="75">
        <v>574</v>
      </c>
      <c r="J33" s="75">
        <v>79</v>
      </c>
      <c r="K33" s="75">
        <v>318</v>
      </c>
      <c r="L33" s="75">
        <v>267</v>
      </c>
      <c r="M33" s="75">
        <v>235</v>
      </c>
      <c r="N33" s="75">
        <v>246</v>
      </c>
      <c r="O33" s="75">
        <v>526</v>
      </c>
    </row>
    <row r="34" spans="1:15" s="77" customFormat="1" ht="15" customHeight="1" x14ac:dyDescent="0.25">
      <c r="A34" s="78"/>
      <c r="B34" s="72" t="s">
        <v>37</v>
      </c>
      <c r="C34" s="73">
        <v>17169</v>
      </c>
      <c r="D34" s="73">
        <v>18502</v>
      </c>
      <c r="E34" s="73">
        <v>15526</v>
      </c>
      <c r="F34" s="73">
        <v>13505</v>
      </c>
      <c r="G34" s="73">
        <v>8005</v>
      </c>
      <c r="H34" s="73">
        <v>9912</v>
      </c>
      <c r="I34" s="73">
        <v>15634</v>
      </c>
      <c r="J34" s="73">
        <v>18366</v>
      </c>
      <c r="K34" s="73">
        <v>17666</v>
      </c>
      <c r="L34" s="73">
        <v>22478</v>
      </c>
      <c r="M34" s="73">
        <v>27150</v>
      </c>
      <c r="N34" s="73">
        <v>45468</v>
      </c>
      <c r="O34" s="73">
        <v>61053</v>
      </c>
    </row>
    <row r="35" spans="1:15" s="77" customFormat="1" ht="15" customHeight="1" x14ac:dyDescent="0.25">
      <c r="A35" s="78"/>
      <c r="B35" s="74" t="s">
        <v>38</v>
      </c>
      <c r="C35" s="75">
        <v>53</v>
      </c>
      <c r="D35" s="75">
        <v>144</v>
      </c>
      <c r="E35" s="75">
        <v>94</v>
      </c>
      <c r="F35" s="75">
        <v>98</v>
      </c>
      <c r="G35" s="75">
        <v>107</v>
      </c>
      <c r="H35" s="75">
        <v>94</v>
      </c>
      <c r="I35" s="75">
        <v>241</v>
      </c>
      <c r="J35" s="75">
        <v>211</v>
      </c>
      <c r="K35" s="75">
        <v>265</v>
      </c>
      <c r="L35" s="75">
        <v>304</v>
      </c>
      <c r="M35" s="75">
        <v>379</v>
      </c>
      <c r="N35" s="75">
        <v>439</v>
      </c>
      <c r="O35" s="75">
        <v>684</v>
      </c>
    </row>
    <row r="36" spans="1:15" s="77" customFormat="1" ht="15" customHeight="1" x14ac:dyDescent="0.25">
      <c r="A36" s="78"/>
      <c r="B36" s="72" t="s">
        <v>39</v>
      </c>
      <c r="C36" s="73">
        <v>10</v>
      </c>
      <c r="D36" s="73">
        <v>58</v>
      </c>
      <c r="E36" s="73">
        <v>188</v>
      </c>
      <c r="F36" s="73">
        <v>461</v>
      </c>
      <c r="G36" s="73">
        <v>114</v>
      </c>
      <c r="H36" s="73">
        <v>114</v>
      </c>
      <c r="I36" s="73">
        <v>102</v>
      </c>
      <c r="J36" s="73">
        <v>139</v>
      </c>
      <c r="K36" s="73">
        <v>179</v>
      </c>
      <c r="L36" s="73">
        <v>271</v>
      </c>
      <c r="M36" s="73">
        <v>288</v>
      </c>
      <c r="N36" s="73">
        <v>397</v>
      </c>
      <c r="O36" s="73">
        <v>571</v>
      </c>
    </row>
    <row r="37" spans="1:15" s="77" customFormat="1" ht="15" customHeight="1" x14ac:dyDescent="0.25">
      <c r="A37" s="78"/>
      <c r="B37" s="74" t="s">
        <v>40</v>
      </c>
      <c r="C37" s="75">
        <v>1957</v>
      </c>
      <c r="D37" s="75">
        <v>2135</v>
      </c>
      <c r="E37" s="75">
        <v>1510</v>
      </c>
      <c r="F37" s="75">
        <v>2306</v>
      </c>
      <c r="G37" s="75">
        <v>1709</v>
      </c>
      <c r="H37" s="75">
        <v>2960</v>
      </c>
      <c r="I37" s="75">
        <v>5636</v>
      </c>
      <c r="J37" s="75">
        <v>6261</v>
      </c>
      <c r="K37" s="75">
        <v>5722</v>
      </c>
      <c r="L37" s="75">
        <v>5697</v>
      </c>
      <c r="M37" s="75">
        <v>6521</v>
      </c>
      <c r="N37" s="75">
        <v>6850</v>
      </c>
      <c r="O37" s="75">
        <v>8753</v>
      </c>
    </row>
    <row r="38" spans="1:15" s="77" customFormat="1" ht="15" customHeight="1" x14ac:dyDescent="0.25">
      <c r="A38" s="78"/>
      <c r="B38" s="72" t="s">
        <v>41</v>
      </c>
      <c r="C38" s="73">
        <v>98</v>
      </c>
      <c r="D38" s="73">
        <v>105</v>
      </c>
      <c r="E38" s="73">
        <v>94</v>
      </c>
      <c r="F38" s="73">
        <v>175</v>
      </c>
      <c r="G38" s="73">
        <v>218</v>
      </c>
      <c r="H38" s="73">
        <v>297</v>
      </c>
      <c r="I38" s="73">
        <v>734</v>
      </c>
      <c r="J38" s="73">
        <v>261</v>
      </c>
      <c r="K38" s="73">
        <v>142</v>
      </c>
      <c r="L38" s="73">
        <v>127</v>
      </c>
      <c r="M38" s="73">
        <v>69</v>
      </c>
      <c r="N38" s="73">
        <v>116</v>
      </c>
      <c r="O38" s="73">
        <v>252</v>
      </c>
    </row>
    <row r="39" spans="1:15" s="77" customFormat="1" ht="15" customHeight="1" x14ac:dyDescent="0.25">
      <c r="A39" s="78"/>
      <c r="B39" s="74" t="s">
        <v>42</v>
      </c>
      <c r="C39" s="75">
        <v>6937</v>
      </c>
      <c r="D39" s="75">
        <v>8811</v>
      </c>
      <c r="E39" s="75">
        <v>8823</v>
      </c>
      <c r="F39" s="75">
        <v>9452</v>
      </c>
      <c r="G39" s="75">
        <v>6087</v>
      </c>
      <c r="H39" s="75">
        <v>5822</v>
      </c>
      <c r="I39" s="75">
        <v>9463</v>
      </c>
      <c r="J39" s="75">
        <v>10574</v>
      </c>
      <c r="K39" s="75">
        <v>12399</v>
      </c>
      <c r="L39" s="75">
        <v>14739</v>
      </c>
      <c r="M39" s="75">
        <v>13303</v>
      </c>
      <c r="N39" s="75">
        <v>20013</v>
      </c>
      <c r="O39" s="75">
        <v>22136</v>
      </c>
    </row>
    <row r="40" spans="1:15" s="77" customFormat="1" ht="15" customHeight="1" x14ac:dyDescent="0.25">
      <c r="A40" s="78"/>
      <c r="B40" s="72" t="s">
        <v>43</v>
      </c>
      <c r="C40" s="73">
        <v>596</v>
      </c>
      <c r="D40" s="73">
        <v>587</v>
      </c>
      <c r="E40" s="73">
        <v>725</v>
      </c>
      <c r="F40" s="73">
        <v>632</v>
      </c>
      <c r="G40" s="73">
        <v>748</v>
      </c>
      <c r="H40" s="73">
        <v>518</v>
      </c>
      <c r="I40" s="73">
        <v>1280</v>
      </c>
      <c r="J40" s="73">
        <v>771</v>
      </c>
      <c r="K40" s="73">
        <v>600</v>
      </c>
      <c r="L40" s="73">
        <v>613</v>
      </c>
      <c r="M40" s="73">
        <v>800</v>
      </c>
      <c r="N40" s="73">
        <v>658</v>
      </c>
      <c r="O40" s="73">
        <v>1159</v>
      </c>
    </row>
    <row r="41" spans="1:15" s="77" customFormat="1" ht="15" customHeight="1" x14ac:dyDescent="0.25">
      <c r="A41" s="78"/>
      <c r="B41" s="74" t="s">
        <v>44</v>
      </c>
      <c r="C41" s="75" t="s">
        <v>131</v>
      </c>
      <c r="D41" s="75">
        <v>24</v>
      </c>
      <c r="E41" s="75">
        <v>8</v>
      </c>
      <c r="F41" s="75">
        <v>25</v>
      </c>
      <c r="G41" s="75">
        <v>108</v>
      </c>
      <c r="H41" s="75">
        <v>41</v>
      </c>
      <c r="I41" s="75">
        <v>228</v>
      </c>
      <c r="J41" s="75">
        <v>285</v>
      </c>
      <c r="K41" s="75">
        <v>191</v>
      </c>
      <c r="L41" s="75">
        <v>353</v>
      </c>
      <c r="M41" s="75">
        <v>452</v>
      </c>
      <c r="N41" s="75">
        <v>882</v>
      </c>
      <c r="O41" s="75">
        <v>667</v>
      </c>
    </row>
    <row r="42" spans="1:15" s="77" customFormat="1" ht="15" customHeight="1" x14ac:dyDescent="0.25">
      <c r="A42" s="78"/>
      <c r="B42" s="72" t="s">
        <v>45</v>
      </c>
      <c r="C42" s="73">
        <v>1</v>
      </c>
      <c r="D42" s="73">
        <v>2</v>
      </c>
      <c r="E42" s="73">
        <v>1</v>
      </c>
      <c r="F42" s="73">
        <v>45</v>
      </c>
      <c r="G42" s="73">
        <v>7</v>
      </c>
      <c r="H42" s="73">
        <v>40</v>
      </c>
      <c r="I42" s="73">
        <v>142</v>
      </c>
      <c r="J42" s="73">
        <v>120</v>
      </c>
      <c r="K42" s="73">
        <v>85</v>
      </c>
      <c r="L42" s="73">
        <v>102</v>
      </c>
      <c r="M42" s="73">
        <v>122</v>
      </c>
      <c r="N42" s="73">
        <v>163</v>
      </c>
      <c r="O42" s="73">
        <v>229</v>
      </c>
    </row>
    <row r="43" spans="1:15" s="77" customFormat="1" ht="15" customHeight="1" x14ac:dyDescent="0.25">
      <c r="A43" s="78"/>
      <c r="B43" s="74" t="s">
        <v>46</v>
      </c>
      <c r="C43" s="75" t="s">
        <v>131</v>
      </c>
      <c r="D43" s="75">
        <v>104459</v>
      </c>
      <c r="E43" s="75">
        <v>87225</v>
      </c>
      <c r="F43" s="75">
        <v>75800</v>
      </c>
      <c r="G43" s="75">
        <v>69564</v>
      </c>
      <c r="H43" s="75">
        <v>81835</v>
      </c>
      <c r="I43" s="75">
        <v>91620</v>
      </c>
      <c r="J43" s="75">
        <v>73040</v>
      </c>
      <c r="K43" s="75">
        <v>82287</v>
      </c>
      <c r="L43" s="75">
        <v>84475</v>
      </c>
      <c r="M43" s="75">
        <v>67848</v>
      </c>
      <c r="N43" s="75">
        <v>74532</v>
      </c>
      <c r="O43" s="75">
        <v>86937</v>
      </c>
    </row>
    <row r="44" spans="1:15" s="77" customFormat="1" ht="15" customHeight="1" x14ac:dyDescent="0.25">
      <c r="A44" s="78"/>
      <c r="B44" s="72" t="s">
        <v>47</v>
      </c>
      <c r="C44" s="73">
        <v>3</v>
      </c>
      <c r="D44" s="73">
        <v>22</v>
      </c>
      <c r="E44" s="73">
        <v>43</v>
      </c>
      <c r="F44" s="73">
        <v>56</v>
      </c>
      <c r="G44" s="73">
        <v>57</v>
      </c>
      <c r="H44" s="73">
        <v>47</v>
      </c>
      <c r="I44" s="73">
        <v>165</v>
      </c>
      <c r="J44" s="73">
        <v>91</v>
      </c>
      <c r="K44" s="73">
        <v>86</v>
      </c>
      <c r="L44" s="73">
        <v>169</v>
      </c>
      <c r="M44" s="73">
        <v>524</v>
      </c>
      <c r="N44" s="73">
        <v>690</v>
      </c>
      <c r="O44" s="73">
        <v>944</v>
      </c>
    </row>
    <row r="45" spans="1:15" s="77" customFormat="1" ht="15" customHeight="1" x14ac:dyDescent="0.25">
      <c r="A45" s="78"/>
      <c r="B45" s="74" t="s">
        <v>48</v>
      </c>
      <c r="C45" s="75">
        <v>1249</v>
      </c>
      <c r="D45" s="75">
        <v>1083</v>
      </c>
      <c r="E45" s="75">
        <v>383</v>
      </c>
      <c r="F45" s="75">
        <v>669</v>
      </c>
      <c r="G45" s="75">
        <v>413</v>
      </c>
      <c r="H45" s="75">
        <v>394</v>
      </c>
      <c r="I45" s="75">
        <v>716</v>
      </c>
      <c r="J45" s="75">
        <v>520</v>
      </c>
      <c r="K45" s="75">
        <v>594</v>
      </c>
      <c r="L45" s="75">
        <v>690</v>
      </c>
      <c r="M45" s="75">
        <v>604</v>
      </c>
      <c r="N45" s="75">
        <v>690</v>
      </c>
      <c r="O45" s="75">
        <v>1132</v>
      </c>
    </row>
    <row r="46" spans="1:15" s="77" customFormat="1" ht="15" customHeight="1" x14ac:dyDescent="0.25">
      <c r="A46" s="78"/>
      <c r="B46" s="72" t="s">
        <v>49</v>
      </c>
      <c r="C46" s="73">
        <v>38</v>
      </c>
      <c r="D46" s="73">
        <v>30</v>
      </c>
      <c r="E46" s="73">
        <v>151</v>
      </c>
      <c r="F46" s="73">
        <v>109</v>
      </c>
      <c r="G46" s="73">
        <v>76</v>
      </c>
      <c r="H46" s="73">
        <v>60</v>
      </c>
      <c r="I46" s="73">
        <v>217</v>
      </c>
      <c r="J46" s="73">
        <v>195</v>
      </c>
      <c r="K46" s="73">
        <v>206</v>
      </c>
      <c r="L46" s="73">
        <v>346</v>
      </c>
      <c r="M46" s="73">
        <v>931</v>
      </c>
      <c r="N46" s="73">
        <v>513</v>
      </c>
      <c r="O46" s="73">
        <v>618</v>
      </c>
    </row>
    <row r="47" spans="1:15" s="77" customFormat="1" ht="15" customHeight="1" x14ac:dyDescent="0.25">
      <c r="A47" s="78"/>
      <c r="B47" s="74" t="s">
        <v>50</v>
      </c>
      <c r="C47" s="75">
        <v>3736</v>
      </c>
      <c r="D47" s="75">
        <v>3158</v>
      </c>
      <c r="E47" s="75">
        <v>2300</v>
      </c>
      <c r="F47" s="75">
        <v>1923</v>
      </c>
      <c r="G47" s="75">
        <v>1768</v>
      </c>
      <c r="H47" s="75">
        <v>1935</v>
      </c>
      <c r="I47" s="75">
        <v>2369</v>
      </c>
      <c r="J47" s="75">
        <v>2335</v>
      </c>
      <c r="K47" s="75">
        <v>2424</v>
      </c>
      <c r="L47" s="75">
        <v>2741</v>
      </c>
      <c r="M47" s="75">
        <v>4654</v>
      </c>
      <c r="N47" s="75">
        <v>5003</v>
      </c>
      <c r="O47" s="75">
        <v>7560</v>
      </c>
    </row>
    <row r="48" spans="1:15" s="77" customFormat="1" ht="15" customHeight="1" x14ac:dyDescent="0.25">
      <c r="A48" s="78"/>
      <c r="B48" s="72" t="s">
        <v>51</v>
      </c>
      <c r="C48" s="73">
        <v>8</v>
      </c>
      <c r="D48" s="73">
        <v>27</v>
      </c>
      <c r="E48" s="73">
        <v>8</v>
      </c>
      <c r="F48" s="73">
        <v>27</v>
      </c>
      <c r="G48" s="73" t="s">
        <v>131</v>
      </c>
      <c r="H48" s="73" t="s">
        <v>131</v>
      </c>
      <c r="I48" s="73">
        <v>23</v>
      </c>
      <c r="J48" s="73">
        <v>43</v>
      </c>
      <c r="K48" s="73">
        <v>103</v>
      </c>
      <c r="L48" s="73">
        <v>244</v>
      </c>
      <c r="M48" s="73">
        <v>340</v>
      </c>
      <c r="N48" s="73">
        <v>653</v>
      </c>
      <c r="O48" s="73">
        <v>554</v>
      </c>
    </row>
    <row r="49" spans="1:16" s="77" customFormat="1" ht="15" customHeight="1" x14ac:dyDescent="0.25">
      <c r="A49" s="78"/>
      <c r="B49" s="74" t="s">
        <v>52</v>
      </c>
      <c r="C49" s="75">
        <v>3301</v>
      </c>
      <c r="D49" s="75">
        <v>3967</v>
      </c>
      <c r="E49" s="75">
        <v>3525</v>
      </c>
      <c r="F49" s="75">
        <v>2976</v>
      </c>
      <c r="G49" s="75">
        <v>2372</v>
      </c>
      <c r="H49" s="75">
        <v>2673</v>
      </c>
      <c r="I49" s="75">
        <v>2954</v>
      </c>
      <c r="J49" s="75">
        <v>2689</v>
      </c>
      <c r="K49" s="75">
        <v>2562</v>
      </c>
      <c r="L49" s="75">
        <v>3346</v>
      </c>
      <c r="M49" s="75">
        <v>4264</v>
      </c>
      <c r="N49" s="75">
        <v>5005</v>
      </c>
      <c r="O49" s="75">
        <v>5834</v>
      </c>
    </row>
    <row r="50" spans="1:16" s="77" customFormat="1" ht="15" customHeight="1" x14ac:dyDescent="0.25">
      <c r="A50" s="78"/>
      <c r="B50" s="72" t="s">
        <v>5</v>
      </c>
      <c r="C50" s="73">
        <v>5</v>
      </c>
      <c r="D50" s="73">
        <v>69</v>
      </c>
      <c r="E50" s="73">
        <v>90</v>
      </c>
      <c r="F50" s="73">
        <v>42</v>
      </c>
      <c r="G50" s="73">
        <v>54</v>
      </c>
      <c r="H50" s="73">
        <v>56</v>
      </c>
      <c r="I50" s="73">
        <v>90</v>
      </c>
      <c r="J50" s="73">
        <v>85</v>
      </c>
      <c r="K50" s="73">
        <v>163</v>
      </c>
      <c r="L50" s="73">
        <v>136</v>
      </c>
      <c r="M50" s="73">
        <v>106</v>
      </c>
      <c r="N50" s="73">
        <v>136</v>
      </c>
      <c r="O50" s="73">
        <v>96</v>
      </c>
    </row>
    <row r="51" spans="1:16" s="77" customFormat="1" ht="15" customHeight="1" x14ac:dyDescent="0.25">
      <c r="A51" s="78"/>
      <c r="B51" s="74" t="s">
        <v>6</v>
      </c>
      <c r="C51" s="75">
        <v>183</v>
      </c>
      <c r="D51" s="75">
        <v>797</v>
      </c>
      <c r="E51" s="75">
        <v>259</v>
      </c>
      <c r="F51" s="75">
        <v>395</v>
      </c>
      <c r="G51" s="75">
        <v>294</v>
      </c>
      <c r="H51" s="75">
        <v>458</v>
      </c>
      <c r="I51" s="75">
        <v>1063</v>
      </c>
      <c r="J51" s="75">
        <v>2575</v>
      </c>
      <c r="K51" s="75">
        <v>2278</v>
      </c>
      <c r="L51" s="75">
        <v>2127</v>
      </c>
      <c r="M51" s="75">
        <v>2248</v>
      </c>
      <c r="N51" s="75">
        <v>2536</v>
      </c>
      <c r="O51" s="75">
        <v>3168</v>
      </c>
    </row>
    <row r="52" spans="1:16" s="77" customFormat="1" ht="15" customHeight="1" x14ac:dyDescent="0.25">
      <c r="A52" s="78"/>
      <c r="B52" s="72" t="s">
        <v>7</v>
      </c>
      <c r="C52" s="73">
        <v>232838</v>
      </c>
      <c r="D52" s="73">
        <v>215630</v>
      </c>
      <c r="E52" s="73">
        <v>177543</v>
      </c>
      <c r="F52" s="73">
        <v>181442</v>
      </c>
      <c r="G52" s="73">
        <v>147171</v>
      </c>
      <c r="H52" s="73">
        <v>151625</v>
      </c>
      <c r="I52" s="73">
        <v>163575</v>
      </c>
      <c r="J52" s="73">
        <v>125012</v>
      </c>
      <c r="K52" s="73">
        <v>94824</v>
      </c>
      <c r="L52" s="73">
        <v>94621</v>
      </c>
      <c r="M52" s="73">
        <v>105314</v>
      </c>
      <c r="N52" s="73">
        <v>130487</v>
      </c>
      <c r="O52" s="73">
        <v>156227</v>
      </c>
    </row>
    <row r="53" spans="1:16" s="77" customFormat="1" ht="15" customHeight="1" x14ac:dyDescent="0.25">
      <c r="A53" s="78"/>
      <c r="B53" s="74" t="s">
        <v>8</v>
      </c>
      <c r="C53" s="75">
        <v>88</v>
      </c>
      <c r="D53" s="75">
        <v>21</v>
      </c>
      <c r="E53" s="75">
        <v>49</v>
      </c>
      <c r="F53" s="75">
        <v>175</v>
      </c>
      <c r="G53" s="75">
        <v>58</v>
      </c>
      <c r="H53" s="75">
        <v>153</v>
      </c>
      <c r="I53" s="75">
        <v>350</v>
      </c>
      <c r="J53" s="75">
        <v>300</v>
      </c>
      <c r="K53" s="75">
        <v>342</v>
      </c>
      <c r="L53" s="75">
        <v>383</v>
      </c>
      <c r="M53" s="75">
        <v>514</v>
      </c>
      <c r="N53" s="75">
        <v>1009</v>
      </c>
      <c r="O53" s="75">
        <v>1193</v>
      </c>
    </row>
    <row r="54" spans="1:16" s="77" customFormat="1" ht="15" customHeight="1" x14ac:dyDescent="0.25">
      <c r="A54" s="78"/>
      <c r="B54" s="72" t="s">
        <v>53</v>
      </c>
      <c r="C54" s="73">
        <v>50</v>
      </c>
      <c r="D54" s="73">
        <v>133</v>
      </c>
      <c r="E54" s="73">
        <v>87</v>
      </c>
      <c r="F54" s="73">
        <v>92</v>
      </c>
      <c r="G54" s="73">
        <v>82</v>
      </c>
      <c r="H54" s="73">
        <v>937</v>
      </c>
      <c r="I54" s="73">
        <v>496</v>
      </c>
      <c r="J54" s="73">
        <v>907</v>
      </c>
      <c r="K54" s="73">
        <v>1051</v>
      </c>
      <c r="L54" s="73">
        <v>991</v>
      </c>
      <c r="M54" s="73">
        <v>1057</v>
      </c>
      <c r="N54" s="73">
        <v>999</v>
      </c>
      <c r="O54" s="73">
        <v>1789</v>
      </c>
    </row>
    <row r="55" spans="1:16" s="77" customFormat="1" ht="15" customHeight="1" x14ac:dyDescent="0.25">
      <c r="A55" s="78"/>
      <c r="B55" s="74" t="s">
        <v>54</v>
      </c>
      <c r="C55" s="75">
        <v>19</v>
      </c>
      <c r="D55" s="75">
        <v>24</v>
      </c>
      <c r="E55" s="75">
        <v>74</v>
      </c>
      <c r="F55" s="75">
        <v>177</v>
      </c>
      <c r="G55" s="75">
        <v>116</v>
      </c>
      <c r="H55" s="75">
        <v>278</v>
      </c>
      <c r="I55" s="75">
        <v>732</v>
      </c>
      <c r="J55" s="75">
        <v>1203</v>
      </c>
      <c r="K55" s="75">
        <v>331</v>
      </c>
      <c r="L55" s="75">
        <v>610</v>
      </c>
      <c r="M55" s="75">
        <v>635</v>
      </c>
      <c r="N55" s="75">
        <v>1060</v>
      </c>
      <c r="O55" s="75">
        <v>1390</v>
      </c>
    </row>
    <row r="56" spans="1:16" s="77" customFormat="1" ht="15" customHeight="1" x14ac:dyDescent="0.25">
      <c r="A56" s="78"/>
      <c r="B56" s="72" t="s">
        <v>55</v>
      </c>
      <c r="C56" s="73">
        <v>51</v>
      </c>
      <c r="D56" s="73">
        <v>267</v>
      </c>
      <c r="E56" s="73">
        <v>220</v>
      </c>
      <c r="F56" s="73">
        <v>109</v>
      </c>
      <c r="G56" s="73">
        <v>128</v>
      </c>
      <c r="H56" s="73">
        <v>366</v>
      </c>
      <c r="I56" s="73">
        <v>352</v>
      </c>
      <c r="J56" s="73">
        <v>126</v>
      </c>
      <c r="K56" s="73">
        <v>195</v>
      </c>
      <c r="L56" s="73">
        <v>126</v>
      </c>
      <c r="M56" s="73">
        <v>270</v>
      </c>
      <c r="N56" s="73">
        <v>338</v>
      </c>
      <c r="O56" s="73">
        <v>687</v>
      </c>
    </row>
    <row r="57" spans="1:16" s="77" customFormat="1" ht="15" customHeight="1" x14ac:dyDescent="0.25">
      <c r="A57" s="78"/>
      <c r="B57" s="74" t="s">
        <v>56</v>
      </c>
      <c r="C57" s="75">
        <v>4459</v>
      </c>
      <c r="D57" s="75">
        <v>4526</v>
      </c>
      <c r="E57" s="75">
        <v>3628</v>
      </c>
      <c r="F57" s="75">
        <v>2568</v>
      </c>
      <c r="G57" s="75">
        <v>1999</v>
      </c>
      <c r="H57" s="75">
        <v>2526</v>
      </c>
      <c r="I57" s="75">
        <v>5105</v>
      </c>
      <c r="J57" s="75">
        <v>4009</v>
      </c>
      <c r="K57" s="75">
        <v>4298</v>
      </c>
      <c r="L57" s="75">
        <v>5107</v>
      </c>
      <c r="M57" s="75">
        <v>5564</v>
      </c>
      <c r="N57" s="75">
        <v>8910</v>
      </c>
      <c r="O57" s="75">
        <v>10175</v>
      </c>
    </row>
    <row r="58" spans="1:16" s="77" customFormat="1" ht="15" customHeight="1" x14ac:dyDescent="0.25">
      <c r="A58" s="78"/>
      <c r="B58" s="72" t="s">
        <v>57</v>
      </c>
      <c r="C58" s="73">
        <v>721872</v>
      </c>
      <c r="D58" s="73">
        <v>629306</v>
      </c>
      <c r="E58" s="73">
        <v>516587</v>
      </c>
      <c r="F58" s="73">
        <v>531061</v>
      </c>
      <c r="G58" s="73">
        <v>519890</v>
      </c>
      <c r="H58" s="73">
        <v>530721</v>
      </c>
      <c r="I58" s="73">
        <v>544717</v>
      </c>
      <c r="J58" s="73">
        <v>554124</v>
      </c>
      <c r="K58" s="73">
        <v>530879</v>
      </c>
      <c r="L58" s="73">
        <v>612659</v>
      </c>
      <c r="M58" s="73">
        <v>680734</v>
      </c>
      <c r="N58" s="73">
        <v>697326</v>
      </c>
      <c r="O58" s="73">
        <v>738128</v>
      </c>
    </row>
    <row r="59" spans="1:16" s="77" customFormat="1" ht="15" customHeight="1" x14ac:dyDescent="0.25">
      <c r="A59" s="78"/>
      <c r="B59" s="74" t="s">
        <v>58</v>
      </c>
      <c r="C59" s="75">
        <v>22</v>
      </c>
      <c r="D59" s="75">
        <v>54</v>
      </c>
      <c r="E59" s="75">
        <v>71</v>
      </c>
      <c r="F59" s="75">
        <v>48</v>
      </c>
      <c r="G59" s="75">
        <v>123</v>
      </c>
      <c r="H59" s="75">
        <v>141</v>
      </c>
      <c r="I59" s="75">
        <v>357</v>
      </c>
      <c r="J59" s="75">
        <v>523</v>
      </c>
      <c r="K59" s="75">
        <v>349</v>
      </c>
      <c r="L59" s="75">
        <v>1015</v>
      </c>
      <c r="M59" s="75">
        <v>713</v>
      </c>
      <c r="N59" s="75">
        <v>705</v>
      </c>
      <c r="O59" s="75">
        <v>794</v>
      </c>
    </row>
    <row r="60" spans="1:16" s="77" customFormat="1" ht="15" customHeight="1" x14ac:dyDescent="0.25">
      <c r="A60" s="78"/>
      <c r="B60" s="72" t="s">
        <v>59</v>
      </c>
      <c r="C60" s="73">
        <v>32</v>
      </c>
      <c r="D60" s="73">
        <v>59</v>
      </c>
      <c r="E60" s="73">
        <v>25</v>
      </c>
      <c r="F60" s="73">
        <v>25</v>
      </c>
      <c r="G60" s="73">
        <v>48</v>
      </c>
      <c r="H60" s="73">
        <v>12</v>
      </c>
      <c r="I60" s="73">
        <v>58</v>
      </c>
      <c r="J60" s="73">
        <v>82</v>
      </c>
      <c r="K60" s="73">
        <v>274</v>
      </c>
      <c r="L60" s="73">
        <v>188</v>
      </c>
      <c r="M60" s="73">
        <v>222</v>
      </c>
      <c r="N60" s="73">
        <v>315</v>
      </c>
      <c r="O60" s="73">
        <v>403</v>
      </c>
    </row>
    <row r="61" spans="1:16" s="77" customFormat="1" ht="15" customHeight="1" x14ac:dyDescent="0.25">
      <c r="A61" s="78"/>
      <c r="B61" s="74" t="s">
        <v>60</v>
      </c>
      <c r="C61" s="75">
        <v>95737</v>
      </c>
      <c r="D61" s="75">
        <v>40116</v>
      </c>
      <c r="E61" s="75">
        <v>9724</v>
      </c>
      <c r="F61" s="75">
        <v>7505</v>
      </c>
      <c r="G61" s="75">
        <v>6133</v>
      </c>
      <c r="H61" s="75">
        <v>8443</v>
      </c>
      <c r="I61" s="75">
        <v>14950</v>
      </c>
      <c r="J61" s="75">
        <v>19264</v>
      </c>
      <c r="K61" s="75">
        <v>19421</v>
      </c>
      <c r="L61" s="75">
        <v>15784</v>
      </c>
      <c r="M61" s="75">
        <v>9258</v>
      </c>
      <c r="N61" s="75">
        <v>12098</v>
      </c>
      <c r="O61" s="75">
        <v>6974</v>
      </c>
    </row>
    <row r="62" spans="1:16" s="77" customFormat="1" ht="15" customHeight="1" x14ac:dyDescent="0.25">
      <c r="A62" s="78"/>
      <c r="B62" s="72" t="s">
        <v>64</v>
      </c>
      <c r="C62" s="73">
        <v>176854</v>
      </c>
      <c r="D62" s="73">
        <v>19753</v>
      </c>
      <c r="E62" s="73">
        <v>16844</v>
      </c>
      <c r="F62" s="73">
        <v>18466</v>
      </c>
      <c r="G62" s="73">
        <v>22725</v>
      </c>
      <c r="H62" s="73">
        <v>27721</v>
      </c>
      <c r="I62" s="73">
        <v>34492</v>
      </c>
      <c r="J62" s="73">
        <v>32775</v>
      </c>
      <c r="K62" s="73">
        <v>30259</v>
      </c>
      <c r="L62" s="73">
        <v>35738</v>
      </c>
      <c r="M62" s="73">
        <v>29448</v>
      </c>
      <c r="N62" s="73">
        <v>32313</v>
      </c>
      <c r="O62" s="73">
        <v>35355</v>
      </c>
    </row>
    <row r="63" spans="1:16" s="83" customFormat="1" ht="30" customHeight="1" x14ac:dyDescent="0.2">
      <c r="B63" s="84" t="s">
        <v>69</v>
      </c>
      <c r="C63" s="85">
        <v>3569347</v>
      </c>
      <c r="D63" s="85">
        <v>2711605</v>
      </c>
      <c r="E63" s="85">
        <v>2373382</v>
      </c>
      <c r="F63" s="85">
        <v>2367060</v>
      </c>
      <c r="G63" s="85">
        <v>2204961</v>
      </c>
      <c r="H63" s="85">
        <v>2328559</v>
      </c>
      <c r="I63" s="85">
        <v>2465185</v>
      </c>
      <c r="J63" s="85">
        <v>2332295</v>
      </c>
      <c r="K63" s="85">
        <v>2102850</v>
      </c>
      <c r="L63" s="85">
        <v>2208853</v>
      </c>
      <c r="M63" s="85">
        <v>2213095</v>
      </c>
      <c r="N63" s="85">
        <v>2399245</v>
      </c>
      <c r="O63" s="85">
        <v>2622437</v>
      </c>
    </row>
    <row r="64" spans="1:16" s="78" customFormat="1" ht="15" customHeight="1" x14ac:dyDescent="0.2">
      <c r="B64" s="81" t="s">
        <v>70</v>
      </c>
      <c r="C64" s="82">
        <v>13702</v>
      </c>
      <c r="D64" s="82">
        <v>19211</v>
      </c>
      <c r="E64" s="82">
        <v>13788</v>
      </c>
      <c r="F64" s="82">
        <v>25720</v>
      </c>
      <c r="G64" s="82">
        <v>27299</v>
      </c>
      <c r="H64" s="82">
        <v>38131</v>
      </c>
      <c r="I64" s="82">
        <v>54006</v>
      </c>
      <c r="J64" s="82">
        <v>75552</v>
      </c>
      <c r="K64" s="82">
        <v>108867</v>
      </c>
      <c r="L64" s="82">
        <v>141129</v>
      </c>
      <c r="M64" s="82">
        <v>155315</v>
      </c>
      <c r="N64" s="82">
        <v>278664</v>
      </c>
      <c r="O64" s="82">
        <v>316539</v>
      </c>
      <c r="P64" s="83"/>
    </row>
    <row r="65" spans="1:17" s="78" customFormat="1" ht="15" customHeight="1" x14ac:dyDescent="0.2">
      <c r="B65" s="81" t="s">
        <v>71</v>
      </c>
      <c r="C65" s="82">
        <v>2326001</v>
      </c>
      <c r="D65" s="82">
        <v>1607213</v>
      </c>
      <c r="E65" s="82">
        <v>1486947</v>
      </c>
      <c r="F65" s="82">
        <v>1519173</v>
      </c>
      <c r="G65" s="82">
        <v>1384852</v>
      </c>
      <c r="H65" s="82">
        <v>1499011</v>
      </c>
      <c r="I65" s="82">
        <v>1635621</v>
      </c>
      <c r="J65" s="82">
        <v>1544996</v>
      </c>
      <c r="K65" s="82">
        <v>1397546</v>
      </c>
      <c r="L65" s="82">
        <v>1412908</v>
      </c>
      <c r="M65" s="82">
        <v>1354056</v>
      </c>
      <c r="N65" s="82">
        <v>1512499</v>
      </c>
      <c r="O65" s="82">
        <v>1693353</v>
      </c>
      <c r="P65" s="83"/>
    </row>
    <row r="66" spans="1:17" s="78" customFormat="1" ht="30" customHeight="1" thickBot="1" x14ac:dyDescent="0.25">
      <c r="B66" s="86" t="s">
        <v>72</v>
      </c>
      <c r="C66" s="87">
        <v>2081256</v>
      </c>
      <c r="D66" s="87">
        <v>1382698</v>
      </c>
      <c r="E66" s="87">
        <v>1302620</v>
      </c>
      <c r="F66" s="87">
        <v>1330784</v>
      </c>
      <c r="G66" s="87">
        <v>1232516</v>
      </c>
      <c r="H66" s="87">
        <v>1340729</v>
      </c>
      <c r="I66" s="87">
        <v>1460074</v>
      </c>
      <c r="J66" s="87">
        <v>1407945</v>
      </c>
      <c r="K66" s="87">
        <v>1290078</v>
      </c>
      <c r="L66" s="87">
        <v>1303833</v>
      </c>
      <c r="M66" s="87">
        <v>1235009</v>
      </c>
      <c r="N66" s="87">
        <v>1362207</v>
      </c>
      <c r="O66" s="87">
        <v>1512615</v>
      </c>
      <c r="P66" s="83"/>
    </row>
    <row r="67" spans="1:17" x14ac:dyDescent="0.25">
      <c r="A67" s="77"/>
      <c r="B67" s="77"/>
      <c r="C67" s="77"/>
      <c r="D67" s="77"/>
      <c r="E67" s="77"/>
      <c r="F67" s="77"/>
      <c r="G67" s="77"/>
      <c r="H67" s="77"/>
      <c r="I67" s="77"/>
      <c r="J67" s="77"/>
      <c r="K67" s="77"/>
      <c r="L67" s="77"/>
      <c r="M67" s="77"/>
      <c r="N67" s="77"/>
      <c r="O67" s="77"/>
      <c r="P67" s="77"/>
      <c r="Q67" s="77"/>
    </row>
    <row r="68" spans="1:17" s="1" customFormat="1" ht="15" customHeight="1" x14ac:dyDescent="0.25">
      <c r="A68" s="123" t="s">
        <v>63</v>
      </c>
      <c r="B68" s="409" t="s">
        <v>326</v>
      </c>
      <c r="C68" s="410"/>
      <c r="D68" s="410"/>
      <c r="E68" s="410"/>
    </row>
    <row r="69" spans="1:17" s="1" customFormat="1" ht="15" customHeight="1" x14ac:dyDescent="0.25">
      <c r="A69" s="369" t="s">
        <v>282</v>
      </c>
      <c r="B69" s="371" t="s">
        <v>323</v>
      </c>
      <c r="C69" s="359"/>
      <c r="D69" s="15"/>
      <c r="E69" s="15"/>
      <c r="F69"/>
      <c r="G69"/>
    </row>
    <row r="70" spans="1:17" s="1" customFormat="1" ht="15" customHeight="1" x14ac:dyDescent="0.25">
      <c r="A70" s="370" t="s">
        <v>4</v>
      </c>
      <c r="B70" s="497" t="s">
        <v>344</v>
      </c>
      <c r="C70" s="408"/>
      <c r="D70" s="15"/>
      <c r="E70" s="15"/>
      <c r="F70"/>
      <c r="G70"/>
    </row>
    <row r="71" spans="1:17" ht="15" customHeight="1" x14ac:dyDescent="0.25">
      <c r="A71" s="77"/>
      <c r="B71" s="77"/>
      <c r="C71" s="77"/>
      <c r="D71" s="77"/>
      <c r="E71" s="77"/>
      <c r="F71" s="77"/>
      <c r="G71" s="77"/>
      <c r="H71" s="77"/>
      <c r="I71" s="77"/>
      <c r="J71" s="77"/>
      <c r="K71" s="77"/>
      <c r="L71" s="77"/>
      <c r="M71" s="77"/>
      <c r="N71" s="77"/>
      <c r="O71" s="77"/>
      <c r="P71" s="77"/>
      <c r="Q71" s="77"/>
    </row>
    <row r="72" spans="1:17" ht="15" customHeight="1" x14ac:dyDescent="0.25">
      <c r="A72" s="77"/>
      <c r="B72" s="77"/>
      <c r="C72" s="77"/>
      <c r="D72" s="77"/>
      <c r="E72" s="77"/>
      <c r="F72" s="77"/>
      <c r="G72" s="77"/>
      <c r="H72" s="77"/>
      <c r="I72" s="77"/>
      <c r="J72" s="77"/>
      <c r="K72" s="77"/>
      <c r="L72" s="77"/>
      <c r="M72" s="77"/>
      <c r="N72" s="77"/>
      <c r="O72" s="77"/>
      <c r="P72" s="77"/>
      <c r="Q72" s="77"/>
    </row>
    <row r="73" spans="1:17" ht="15" customHeight="1" x14ac:dyDescent="0.25">
      <c r="A73" s="77"/>
      <c r="B73" s="77"/>
      <c r="C73" s="77"/>
      <c r="D73" s="77"/>
      <c r="E73" s="77"/>
      <c r="F73" s="77"/>
      <c r="G73" s="77"/>
      <c r="H73" s="77"/>
      <c r="I73" s="77"/>
      <c r="J73" s="77"/>
      <c r="K73" s="77"/>
      <c r="L73" s="77"/>
      <c r="M73" s="77"/>
      <c r="N73" s="77"/>
      <c r="O73" s="77"/>
      <c r="P73" s="77"/>
      <c r="Q73" s="77"/>
    </row>
    <row r="74" spans="1:17" ht="15" customHeight="1" x14ac:dyDescent="0.25">
      <c r="A74" s="77"/>
      <c r="B74" s="77"/>
      <c r="C74" s="77"/>
      <c r="D74" s="77"/>
      <c r="E74" s="77"/>
      <c r="F74" s="77"/>
      <c r="G74" s="77"/>
      <c r="H74" s="77"/>
      <c r="I74" s="77"/>
      <c r="J74" s="77"/>
      <c r="K74" s="77"/>
      <c r="L74" s="77"/>
      <c r="M74" s="77"/>
      <c r="N74" s="77"/>
      <c r="O74" s="77"/>
      <c r="P74" s="77"/>
      <c r="Q74" s="77"/>
    </row>
    <row r="75" spans="1:17" ht="15" customHeight="1" x14ac:dyDescent="0.25">
      <c r="A75" s="77"/>
      <c r="B75" s="77"/>
      <c r="C75" s="77"/>
      <c r="D75" s="77"/>
      <c r="E75" s="77"/>
      <c r="F75" s="77"/>
      <c r="G75" s="77"/>
      <c r="H75" s="77"/>
      <c r="I75" s="77"/>
      <c r="J75" s="77"/>
      <c r="K75" s="77"/>
      <c r="L75" s="77"/>
      <c r="M75" s="77"/>
      <c r="N75" s="77"/>
      <c r="O75" s="77"/>
      <c r="P75" s="77"/>
      <c r="Q75" s="77"/>
    </row>
    <row r="76" spans="1:17" ht="15" customHeight="1" x14ac:dyDescent="0.25">
      <c r="A76" s="77"/>
      <c r="B76" s="77"/>
      <c r="C76" s="77"/>
      <c r="D76" s="77"/>
      <c r="E76" s="77"/>
      <c r="F76" s="77"/>
      <c r="G76" s="77"/>
      <c r="H76" s="77"/>
      <c r="I76" s="77"/>
      <c r="J76" s="77"/>
      <c r="K76" s="77"/>
      <c r="L76" s="77"/>
      <c r="M76" s="77"/>
      <c r="N76" s="77"/>
      <c r="O76" s="77"/>
      <c r="P76" s="77"/>
      <c r="Q76" s="77"/>
    </row>
    <row r="77" spans="1:17" ht="15" customHeight="1" x14ac:dyDescent="0.25">
      <c r="A77" s="77"/>
      <c r="B77" s="77"/>
      <c r="C77" s="77"/>
      <c r="D77" s="77"/>
      <c r="E77" s="77"/>
      <c r="F77" s="77"/>
      <c r="G77" s="77"/>
      <c r="H77" s="77"/>
      <c r="I77" s="77"/>
      <c r="J77" s="77"/>
      <c r="K77" s="77"/>
      <c r="L77" s="77"/>
      <c r="M77" s="77"/>
      <c r="N77" s="77"/>
      <c r="O77" s="77"/>
      <c r="P77" s="77"/>
      <c r="Q77" s="77"/>
    </row>
    <row r="78" spans="1:17" ht="15" customHeight="1" x14ac:dyDescent="0.25">
      <c r="A78" s="77"/>
      <c r="B78" s="77"/>
      <c r="C78" s="77"/>
      <c r="D78" s="77"/>
      <c r="E78" s="77"/>
      <c r="F78" s="77"/>
      <c r="G78" s="77"/>
      <c r="H78" s="77"/>
      <c r="I78" s="77"/>
      <c r="J78" s="77"/>
      <c r="K78" s="77"/>
      <c r="L78" s="77"/>
      <c r="M78" s="77"/>
      <c r="N78" s="77"/>
      <c r="O78" s="77"/>
      <c r="P78" s="77"/>
      <c r="Q78" s="77"/>
    </row>
    <row r="79" spans="1:17" ht="15" customHeight="1" x14ac:dyDescent="0.25">
      <c r="A79" s="77"/>
      <c r="B79" s="77"/>
      <c r="C79" s="77"/>
      <c r="D79" s="77"/>
      <c r="E79" s="77"/>
      <c r="F79" s="77"/>
      <c r="G79" s="77"/>
      <c r="H79" s="77"/>
      <c r="I79" s="77"/>
      <c r="J79" s="77"/>
      <c r="K79" s="77"/>
      <c r="L79" s="77"/>
      <c r="M79" s="77"/>
      <c r="N79" s="77"/>
      <c r="O79" s="77"/>
      <c r="P79" s="77"/>
      <c r="Q79" s="77"/>
    </row>
    <row r="80" spans="1:17" ht="15" customHeight="1" x14ac:dyDescent="0.25"/>
    <row r="81" ht="15" customHeight="1" x14ac:dyDescent="0.25"/>
  </sheetData>
  <mergeCells count="4">
    <mergeCell ref="B3:O3"/>
    <mergeCell ref="B2:O2"/>
    <mergeCell ref="B70:C70"/>
    <mergeCell ref="B68:E68"/>
  </mergeCells>
  <hyperlinks>
    <hyperlink ref="O1" location="Índice!A1" display="[índice Ç]"/>
    <hyperlink ref="B70"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G49"/>
  <sheetViews>
    <sheetView showGridLines="0" topLeftCell="A31" workbookViewId="0">
      <selection activeCell="D40" sqref="D40"/>
    </sheetView>
  </sheetViews>
  <sheetFormatPr defaultRowHeight="15" x14ac:dyDescent="0.25"/>
  <cols>
    <col min="1" max="1" width="12.7109375" customWidth="1"/>
    <col min="2" max="2" width="24.7109375" customWidth="1"/>
    <col min="3" max="16" width="12.7109375" customWidth="1"/>
  </cols>
  <sheetData>
    <row r="1" spans="1:163" s="15" customFormat="1" ht="30" customHeight="1" x14ac:dyDescent="0.25">
      <c r="A1" s="101" t="s">
        <v>0</v>
      </c>
      <c r="B1" s="25" t="s">
        <v>1</v>
      </c>
      <c r="C1" s="376"/>
      <c r="D1" s="376"/>
      <c r="E1" s="16"/>
      <c r="P1" s="228" t="s">
        <v>269</v>
      </c>
    </row>
    <row r="2" spans="1:163" s="78" customFormat="1" ht="30" customHeight="1" x14ac:dyDescent="0.25">
      <c r="B2" s="423" t="s">
        <v>289</v>
      </c>
      <c r="C2" s="450"/>
      <c r="D2" s="450"/>
      <c r="E2" s="450"/>
      <c r="F2" s="450"/>
      <c r="G2" s="450"/>
      <c r="H2" s="450"/>
      <c r="I2" s="450"/>
      <c r="J2" s="450"/>
      <c r="K2" s="450"/>
      <c r="L2" s="450"/>
      <c r="M2" s="450"/>
      <c r="N2" s="450"/>
      <c r="O2" s="450"/>
      <c r="P2" s="450"/>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row>
    <row r="3" spans="1:163" s="78" customFormat="1" ht="15" customHeight="1" thickBot="1" x14ac:dyDescent="0.3">
      <c r="B3" s="446" t="s">
        <v>261</v>
      </c>
      <c r="C3" s="447"/>
      <c r="D3" s="447"/>
      <c r="E3" s="447"/>
      <c r="F3" s="447"/>
      <c r="G3" s="447"/>
      <c r="H3" s="447"/>
      <c r="I3" s="447"/>
      <c r="J3" s="447"/>
      <c r="K3" s="447"/>
      <c r="L3" s="447"/>
      <c r="M3" s="447"/>
      <c r="N3" s="447"/>
      <c r="O3" s="447"/>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c r="EZ3" s="124"/>
      <c r="FA3" s="124"/>
      <c r="FB3" s="124"/>
      <c r="FC3" s="124"/>
      <c r="FD3" s="124"/>
      <c r="FE3" s="124"/>
      <c r="FF3" s="124"/>
      <c r="FG3" s="124"/>
    </row>
    <row r="4" spans="1:163" s="78" customFormat="1" ht="30" customHeight="1" x14ac:dyDescent="0.25">
      <c r="A4" s="124"/>
      <c r="B4" s="79" t="s">
        <v>62</v>
      </c>
      <c r="C4" s="80">
        <v>2001</v>
      </c>
      <c r="D4" s="80">
        <v>2002</v>
      </c>
      <c r="E4" s="80">
        <v>2003</v>
      </c>
      <c r="F4" s="80">
        <v>2004</v>
      </c>
      <c r="G4" s="80">
        <v>2005</v>
      </c>
      <c r="H4" s="80">
        <v>2006</v>
      </c>
      <c r="I4" s="80">
        <v>2007</v>
      </c>
      <c r="J4" s="80">
        <v>2008</v>
      </c>
      <c r="K4" s="80">
        <v>2009</v>
      </c>
      <c r="L4" s="80">
        <v>2010</v>
      </c>
      <c r="M4" s="80">
        <v>2011</v>
      </c>
      <c r="N4" s="80">
        <v>2012</v>
      </c>
      <c r="O4" s="80">
        <v>2013</v>
      </c>
      <c r="P4" s="133"/>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4"/>
      <c r="FG4" s="124"/>
    </row>
    <row r="5" spans="1:163" s="78" customFormat="1" ht="30" customHeight="1" x14ac:dyDescent="0.25">
      <c r="A5" s="124"/>
      <c r="B5" s="132" t="s">
        <v>229</v>
      </c>
      <c r="C5" s="131"/>
      <c r="D5" s="131"/>
      <c r="E5" s="131"/>
      <c r="F5" s="131"/>
      <c r="G5" s="131"/>
      <c r="H5" s="131"/>
      <c r="I5" s="131"/>
      <c r="J5" s="131"/>
      <c r="K5" s="131"/>
      <c r="L5" s="131"/>
      <c r="M5" s="131"/>
      <c r="N5" s="131"/>
      <c r="O5" s="131"/>
      <c r="P5" s="152" t="s">
        <v>231</v>
      </c>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4"/>
      <c r="EJ5" s="124"/>
      <c r="EK5" s="124"/>
      <c r="EL5" s="124"/>
      <c r="EM5" s="124"/>
      <c r="EN5" s="124"/>
      <c r="EO5" s="124"/>
      <c r="EP5" s="124"/>
      <c r="EQ5" s="124"/>
      <c r="ER5" s="124"/>
      <c r="ES5" s="124"/>
      <c r="ET5" s="124"/>
      <c r="EU5" s="124"/>
      <c r="EV5" s="124"/>
      <c r="EW5" s="124"/>
      <c r="EX5" s="124"/>
      <c r="EY5" s="124"/>
      <c r="EZ5" s="124"/>
      <c r="FA5" s="124"/>
      <c r="FB5" s="124"/>
      <c r="FC5" s="124"/>
      <c r="FD5" s="124"/>
      <c r="FE5" s="124"/>
      <c r="FF5" s="124"/>
      <c r="FG5" s="124"/>
    </row>
    <row r="6" spans="1:163" s="78" customFormat="1" ht="30" customHeight="1" x14ac:dyDescent="0.25">
      <c r="A6" s="124"/>
      <c r="B6" s="81" t="s">
        <v>10</v>
      </c>
      <c r="C6" s="82">
        <v>3736820</v>
      </c>
      <c r="D6" s="82">
        <v>2817885</v>
      </c>
      <c r="E6" s="82">
        <v>2433777</v>
      </c>
      <c r="F6" s="82">
        <v>2442164</v>
      </c>
      <c r="G6" s="82">
        <v>2277248</v>
      </c>
      <c r="H6" s="82">
        <v>2420267</v>
      </c>
      <c r="I6" s="82">
        <v>2588417</v>
      </c>
      <c r="J6" s="82">
        <v>2484680</v>
      </c>
      <c r="K6" s="82">
        <v>2281866</v>
      </c>
      <c r="L6" s="82">
        <v>2425899</v>
      </c>
      <c r="M6" s="82">
        <v>2430491</v>
      </c>
      <c r="N6" s="82">
        <v>2749461</v>
      </c>
      <c r="O6" s="82">
        <v>3015777</v>
      </c>
      <c r="P6" s="136">
        <f>(O6/N6*100)-100</f>
        <v>9.6861166606836804</v>
      </c>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row>
    <row r="7" spans="1:163" s="179" customFormat="1" ht="15" customHeight="1" x14ac:dyDescent="0.25">
      <c r="A7" s="124"/>
      <c r="B7" s="72" t="s">
        <v>34</v>
      </c>
      <c r="C7" s="73">
        <v>1520421</v>
      </c>
      <c r="D7" s="73">
        <v>934480</v>
      </c>
      <c r="E7" s="73">
        <v>886090</v>
      </c>
      <c r="F7" s="73">
        <v>964129</v>
      </c>
      <c r="G7" s="73">
        <v>908869</v>
      </c>
      <c r="H7" s="73">
        <v>978951</v>
      </c>
      <c r="I7" s="73">
        <v>1026187</v>
      </c>
      <c r="J7" s="73">
        <v>983034</v>
      </c>
      <c r="K7" s="73">
        <v>887445</v>
      </c>
      <c r="L7" s="73">
        <v>899158</v>
      </c>
      <c r="M7" s="73">
        <v>867606</v>
      </c>
      <c r="N7" s="73">
        <v>846149</v>
      </c>
      <c r="O7" s="73">
        <v>894932</v>
      </c>
      <c r="P7" s="178">
        <f t="shared" ref="P7:P20" si="0">(O7/N7*100)-100</f>
        <v>5.7652966557899248</v>
      </c>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row>
    <row r="8" spans="1:163" s="127" customFormat="1" ht="15" customHeight="1" x14ac:dyDescent="0.25">
      <c r="A8" s="124"/>
      <c r="B8" s="125" t="s">
        <v>57</v>
      </c>
      <c r="C8" s="126">
        <v>721872</v>
      </c>
      <c r="D8" s="126">
        <v>629306</v>
      </c>
      <c r="E8" s="126">
        <v>516587</v>
      </c>
      <c r="F8" s="126">
        <v>531061</v>
      </c>
      <c r="G8" s="126">
        <v>519890</v>
      </c>
      <c r="H8" s="126">
        <v>530721</v>
      </c>
      <c r="I8" s="126">
        <v>544717</v>
      </c>
      <c r="J8" s="126">
        <v>554124</v>
      </c>
      <c r="K8" s="126">
        <v>530879</v>
      </c>
      <c r="L8" s="126">
        <v>612659</v>
      </c>
      <c r="M8" s="126">
        <v>680734</v>
      </c>
      <c r="N8" s="126">
        <v>697326</v>
      </c>
      <c r="O8" s="126">
        <v>738128</v>
      </c>
      <c r="P8" s="137">
        <f t="shared" si="0"/>
        <v>5.851208760321569</v>
      </c>
    </row>
    <row r="9" spans="1:163" s="179" customFormat="1" ht="15" customHeight="1" x14ac:dyDescent="0.25">
      <c r="A9" s="124"/>
      <c r="B9" s="72" t="s">
        <v>13</v>
      </c>
      <c r="C9" s="73">
        <v>8789</v>
      </c>
      <c r="D9" s="73">
        <v>14280</v>
      </c>
      <c r="E9" s="73">
        <v>9446</v>
      </c>
      <c r="F9" s="73">
        <v>20641</v>
      </c>
      <c r="G9" s="73">
        <v>23354</v>
      </c>
      <c r="H9" s="73">
        <v>32946</v>
      </c>
      <c r="I9" s="73">
        <v>48114</v>
      </c>
      <c r="J9" s="73">
        <v>70862</v>
      </c>
      <c r="K9" s="73">
        <v>103475</v>
      </c>
      <c r="L9" s="73">
        <v>134874</v>
      </c>
      <c r="M9" s="73">
        <v>147322</v>
      </c>
      <c r="N9" s="73">
        <v>270687</v>
      </c>
      <c r="O9" s="73">
        <v>304328</v>
      </c>
      <c r="P9" s="178">
        <f t="shared" si="0"/>
        <v>12.42800725561257</v>
      </c>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row>
    <row r="10" spans="1:163" s="127" customFormat="1" ht="15" customHeight="1" x14ac:dyDescent="0.25">
      <c r="A10" s="124"/>
      <c r="B10" s="125" t="s">
        <v>12</v>
      </c>
      <c r="C10" s="126">
        <v>325243</v>
      </c>
      <c r="D10" s="126">
        <v>205805</v>
      </c>
      <c r="E10" s="126">
        <v>205644</v>
      </c>
      <c r="F10" s="126">
        <v>178783</v>
      </c>
      <c r="G10" s="126">
        <v>164517</v>
      </c>
      <c r="H10" s="126">
        <v>168902</v>
      </c>
      <c r="I10" s="126">
        <v>170562</v>
      </c>
      <c r="J10" s="126">
        <v>147660</v>
      </c>
      <c r="K10" s="126">
        <v>120865</v>
      </c>
      <c r="L10" s="126">
        <v>120416</v>
      </c>
      <c r="M10" s="126">
        <v>113420</v>
      </c>
      <c r="N10" s="126">
        <v>172943</v>
      </c>
      <c r="O10" s="126">
        <v>197247</v>
      </c>
      <c r="P10" s="137">
        <f t="shared" si="0"/>
        <v>14.053185153489878</v>
      </c>
    </row>
    <row r="11" spans="1:163" s="179" customFormat="1" ht="15" customHeight="1" x14ac:dyDescent="0.25">
      <c r="A11" s="124"/>
      <c r="B11" s="72" t="s">
        <v>30</v>
      </c>
      <c r="C11" s="73">
        <v>58193</v>
      </c>
      <c r="D11" s="73">
        <v>77950</v>
      </c>
      <c r="E11" s="73">
        <v>69892</v>
      </c>
      <c r="F11" s="73">
        <v>60971</v>
      </c>
      <c r="G11" s="73">
        <v>51557</v>
      </c>
      <c r="H11" s="73">
        <v>61812</v>
      </c>
      <c r="I11" s="73">
        <v>96694</v>
      </c>
      <c r="J11" s="73">
        <v>126233</v>
      </c>
      <c r="K11" s="73">
        <v>123816</v>
      </c>
      <c r="L11" s="73">
        <v>111033</v>
      </c>
      <c r="M11" s="73">
        <v>88409</v>
      </c>
      <c r="N11" s="73">
        <v>129910</v>
      </c>
      <c r="O11" s="73">
        <v>156697</v>
      </c>
      <c r="P11" s="178">
        <f t="shared" si="0"/>
        <v>20.619659764452308</v>
      </c>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7"/>
      <c r="EG11" s="127"/>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row>
    <row r="12" spans="1:163" s="127" customFormat="1" ht="15" customHeight="1" x14ac:dyDescent="0.25">
      <c r="A12" s="124"/>
      <c r="B12" s="125" t="s">
        <v>7</v>
      </c>
      <c r="C12" s="126">
        <v>232838</v>
      </c>
      <c r="D12" s="126">
        <v>215630</v>
      </c>
      <c r="E12" s="126">
        <v>177543</v>
      </c>
      <c r="F12" s="126">
        <v>181442</v>
      </c>
      <c r="G12" s="126">
        <v>147171</v>
      </c>
      <c r="H12" s="126">
        <v>151625</v>
      </c>
      <c r="I12" s="126">
        <v>163575</v>
      </c>
      <c r="J12" s="126">
        <v>125012</v>
      </c>
      <c r="K12" s="126">
        <v>94824</v>
      </c>
      <c r="L12" s="126">
        <v>94621</v>
      </c>
      <c r="M12" s="126">
        <v>105314</v>
      </c>
      <c r="N12" s="126">
        <v>130487</v>
      </c>
      <c r="O12" s="126">
        <v>156227</v>
      </c>
      <c r="P12" s="137">
        <f t="shared" si="0"/>
        <v>19.726102983438949</v>
      </c>
    </row>
    <row r="13" spans="1:163" s="179" customFormat="1" ht="15" customHeight="1" x14ac:dyDescent="0.25">
      <c r="A13" s="124"/>
      <c r="B13" s="72" t="s">
        <v>31</v>
      </c>
      <c r="C13" s="73">
        <v>394582</v>
      </c>
      <c r="D13" s="73">
        <v>372451</v>
      </c>
      <c r="E13" s="73">
        <v>272122</v>
      </c>
      <c r="F13" s="73">
        <v>231901</v>
      </c>
      <c r="G13" s="73">
        <v>218369</v>
      </c>
      <c r="H13" s="73">
        <v>223004</v>
      </c>
      <c r="I13" s="73">
        <v>200638</v>
      </c>
      <c r="J13" s="73">
        <v>171462</v>
      </c>
      <c r="K13" s="73">
        <v>127275</v>
      </c>
      <c r="L13" s="73">
        <v>129980</v>
      </c>
      <c r="M13" s="73">
        <v>130423</v>
      </c>
      <c r="N13" s="73">
        <v>135553</v>
      </c>
      <c r="O13" s="73">
        <v>140320</v>
      </c>
      <c r="P13" s="178">
        <f t="shared" si="0"/>
        <v>3.5167056428113028</v>
      </c>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row>
    <row r="14" spans="1:163" s="127" customFormat="1" ht="15" customHeight="1" x14ac:dyDescent="0.25">
      <c r="A14" s="124"/>
      <c r="B14" s="125" t="s">
        <v>46</v>
      </c>
      <c r="C14" s="126" t="s">
        <v>131</v>
      </c>
      <c r="D14" s="126">
        <v>104459</v>
      </c>
      <c r="E14" s="126">
        <v>87225</v>
      </c>
      <c r="F14" s="126">
        <v>75800</v>
      </c>
      <c r="G14" s="126">
        <v>69564</v>
      </c>
      <c r="H14" s="126">
        <v>81835</v>
      </c>
      <c r="I14" s="126">
        <v>91620</v>
      </c>
      <c r="J14" s="126">
        <v>73040</v>
      </c>
      <c r="K14" s="126">
        <v>82287</v>
      </c>
      <c r="L14" s="126">
        <v>84475</v>
      </c>
      <c r="M14" s="126">
        <v>67848</v>
      </c>
      <c r="N14" s="126">
        <v>74532</v>
      </c>
      <c r="O14" s="126">
        <v>86937</v>
      </c>
      <c r="P14" s="137">
        <f t="shared" si="0"/>
        <v>16.643857671872482</v>
      </c>
    </row>
    <row r="15" spans="1:163" s="179" customFormat="1" ht="15" customHeight="1" x14ac:dyDescent="0.25">
      <c r="A15" s="124"/>
      <c r="B15" s="72" t="s">
        <v>19</v>
      </c>
      <c r="C15" s="73" t="s">
        <v>131</v>
      </c>
      <c r="D15" s="73">
        <v>27392</v>
      </c>
      <c r="E15" s="73">
        <v>25191</v>
      </c>
      <c r="F15" s="73">
        <v>21470</v>
      </c>
      <c r="G15" s="73">
        <v>20610</v>
      </c>
      <c r="H15" s="73">
        <v>28248</v>
      </c>
      <c r="I15" s="73">
        <v>37890</v>
      </c>
      <c r="J15" s="73">
        <v>35669</v>
      </c>
      <c r="K15" s="73">
        <v>30986</v>
      </c>
      <c r="L15" s="73">
        <v>34417</v>
      </c>
      <c r="M15" s="73">
        <v>38081</v>
      </c>
      <c r="N15" s="73">
        <v>52019</v>
      </c>
      <c r="O15" s="73">
        <v>67205</v>
      </c>
      <c r="P15" s="178">
        <f t="shared" si="0"/>
        <v>29.193179415213677</v>
      </c>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127"/>
      <c r="DD15" s="127"/>
      <c r="DE15" s="127"/>
      <c r="DF15" s="127"/>
      <c r="DG15" s="127"/>
      <c r="DH15" s="127"/>
      <c r="DI15" s="127"/>
      <c r="DJ15" s="127"/>
      <c r="DK15" s="127"/>
      <c r="DL15" s="127"/>
      <c r="DM15" s="127"/>
      <c r="DN15" s="127"/>
      <c r="DO15" s="127"/>
      <c r="DP15" s="127"/>
      <c r="DQ15" s="127"/>
      <c r="DR15" s="127"/>
      <c r="DS15" s="127"/>
      <c r="DT15" s="127"/>
      <c r="DU15" s="127"/>
      <c r="DV15" s="127"/>
      <c r="DW15" s="127"/>
      <c r="DX15" s="127"/>
      <c r="DY15" s="127"/>
      <c r="DZ15" s="127"/>
      <c r="EA15" s="127"/>
      <c r="EB15" s="127"/>
      <c r="EC15" s="127"/>
      <c r="ED15" s="127"/>
      <c r="EE15" s="127"/>
      <c r="EF15" s="127"/>
      <c r="EG15" s="127"/>
      <c r="EH15" s="127"/>
      <c r="EI15" s="127"/>
      <c r="EJ15" s="127"/>
      <c r="EK15" s="127"/>
      <c r="EL15" s="127"/>
      <c r="EM15" s="127"/>
      <c r="EN15" s="127"/>
      <c r="EO15" s="127"/>
      <c r="EP15" s="127"/>
      <c r="EQ15" s="127"/>
      <c r="ER15" s="127"/>
      <c r="ES15" s="127"/>
      <c r="ET15" s="127"/>
      <c r="EU15" s="127"/>
      <c r="EV15" s="127"/>
      <c r="EW15" s="127"/>
      <c r="EX15" s="127"/>
      <c r="EY15" s="127"/>
      <c r="EZ15" s="127"/>
      <c r="FA15" s="127"/>
      <c r="FB15" s="127"/>
      <c r="FC15" s="127"/>
      <c r="FD15" s="127"/>
      <c r="FE15" s="127"/>
      <c r="FF15" s="127"/>
      <c r="FG15" s="127"/>
    </row>
    <row r="16" spans="1:163" s="127" customFormat="1" ht="15" customHeight="1" x14ac:dyDescent="0.25">
      <c r="A16" s="124"/>
      <c r="B16" s="125" t="s">
        <v>37</v>
      </c>
      <c r="C16" s="126">
        <v>17169</v>
      </c>
      <c r="D16" s="126">
        <v>18502</v>
      </c>
      <c r="E16" s="126">
        <v>15526</v>
      </c>
      <c r="F16" s="126">
        <v>13505</v>
      </c>
      <c r="G16" s="126">
        <v>8005</v>
      </c>
      <c r="H16" s="126">
        <v>9912</v>
      </c>
      <c r="I16" s="126">
        <v>15634</v>
      </c>
      <c r="J16" s="126">
        <v>18366</v>
      </c>
      <c r="K16" s="126">
        <v>17666</v>
      </c>
      <c r="L16" s="126">
        <v>22478</v>
      </c>
      <c r="M16" s="126">
        <v>27150</v>
      </c>
      <c r="N16" s="126">
        <v>45468</v>
      </c>
      <c r="O16" s="126">
        <v>61053</v>
      </c>
      <c r="P16" s="137">
        <f t="shared" si="0"/>
        <v>34.276854051200843</v>
      </c>
    </row>
    <row r="17" spans="1:163" s="127" customFormat="1" ht="30" customHeight="1" x14ac:dyDescent="0.25">
      <c r="A17" s="124"/>
      <c r="B17" s="84" t="s">
        <v>69</v>
      </c>
      <c r="C17" s="85">
        <v>3569347</v>
      </c>
      <c r="D17" s="85">
        <v>2711605</v>
      </c>
      <c r="E17" s="85">
        <v>2373382</v>
      </c>
      <c r="F17" s="85">
        <v>2367060</v>
      </c>
      <c r="G17" s="85">
        <v>2204961</v>
      </c>
      <c r="H17" s="85">
        <v>2328559</v>
      </c>
      <c r="I17" s="85">
        <v>2465185</v>
      </c>
      <c r="J17" s="85">
        <v>2332295</v>
      </c>
      <c r="K17" s="85">
        <v>2102850</v>
      </c>
      <c r="L17" s="85">
        <v>2208853</v>
      </c>
      <c r="M17" s="85">
        <v>2213095</v>
      </c>
      <c r="N17" s="85">
        <v>2399245</v>
      </c>
      <c r="O17" s="85">
        <v>2622437</v>
      </c>
      <c r="P17" s="138">
        <f t="shared" si="0"/>
        <v>9.302593107415035</v>
      </c>
    </row>
    <row r="18" spans="1:163" s="127" customFormat="1" ht="15" customHeight="1" x14ac:dyDescent="0.25">
      <c r="A18" s="124"/>
      <c r="B18" s="81" t="s">
        <v>70</v>
      </c>
      <c r="C18" s="82">
        <v>13702</v>
      </c>
      <c r="D18" s="82">
        <v>19211</v>
      </c>
      <c r="E18" s="82">
        <v>13788</v>
      </c>
      <c r="F18" s="82">
        <v>25720</v>
      </c>
      <c r="G18" s="82">
        <v>27299</v>
      </c>
      <c r="H18" s="82">
        <v>38131</v>
      </c>
      <c r="I18" s="82">
        <v>54006</v>
      </c>
      <c r="J18" s="82">
        <v>75552</v>
      </c>
      <c r="K18" s="82">
        <v>108867</v>
      </c>
      <c r="L18" s="82">
        <v>141129</v>
      </c>
      <c r="M18" s="82">
        <v>155315</v>
      </c>
      <c r="N18" s="82">
        <v>278664</v>
      </c>
      <c r="O18" s="82">
        <v>316539</v>
      </c>
      <c r="P18" s="136">
        <f t="shared" si="0"/>
        <v>13.591637240547755</v>
      </c>
    </row>
    <row r="19" spans="1:163" s="128" customFormat="1" ht="15" customHeight="1" x14ac:dyDescent="0.2">
      <c r="B19" s="81" t="s">
        <v>71</v>
      </c>
      <c r="C19" s="82">
        <v>2326001</v>
      </c>
      <c r="D19" s="82">
        <v>1607213</v>
      </c>
      <c r="E19" s="82">
        <v>1486947</v>
      </c>
      <c r="F19" s="82">
        <v>1519173</v>
      </c>
      <c r="G19" s="82">
        <v>1384852</v>
      </c>
      <c r="H19" s="82">
        <v>1499011</v>
      </c>
      <c r="I19" s="82">
        <v>1635621</v>
      </c>
      <c r="J19" s="82">
        <v>1544996</v>
      </c>
      <c r="K19" s="82">
        <v>1397546</v>
      </c>
      <c r="L19" s="82">
        <v>1412908</v>
      </c>
      <c r="M19" s="82">
        <v>1354056</v>
      </c>
      <c r="N19" s="82">
        <v>1512499</v>
      </c>
      <c r="O19" s="82">
        <v>1693353</v>
      </c>
      <c r="P19" s="136">
        <f t="shared" si="0"/>
        <v>11.957297161849368</v>
      </c>
    </row>
    <row r="20" spans="1:163" s="124" customFormat="1" ht="30" customHeight="1" x14ac:dyDescent="0.25">
      <c r="B20" s="129" t="s">
        <v>72</v>
      </c>
      <c r="C20" s="130">
        <v>2081256</v>
      </c>
      <c r="D20" s="130">
        <v>1382698</v>
      </c>
      <c r="E20" s="130">
        <v>1302620</v>
      </c>
      <c r="F20" s="130">
        <v>1330784</v>
      </c>
      <c r="G20" s="130">
        <v>1232516</v>
      </c>
      <c r="H20" s="130">
        <v>1340729</v>
      </c>
      <c r="I20" s="130">
        <v>1460074</v>
      </c>
      <c r="J20" s="130">
        <v>1407945</v>
      </c>
      <c r="K20" s="130">
        <v>1290078</v>
      </c>
      <c r="L20" s="130">
        <v>1303833</v>
      </c>
      <c r="M20" s="130">
        <v>1235009</v>
      </c>
      <c r="N20" s="130">
        <v>1362207</v>
      </c>
      <c r="O20" s="130">
        <v>1512615</v>
      </c>
      <c r="P20" s="139">
        <f t="shared" si="0"/>
        <v>11.041493693689716</v>
      </c>
    </row>
    <row r="21" spans="1:163" s="124" customFormat="1" ht="30" customHeight="1" x14ac:dyDescent="0.25">
      <c r="B21" s="132" t="s">
        <v>230</v>
      </c>
      <c r="C21" s="131"/>
      <c r="D21" s="131"/>
      <c r="E21" s="131"/>
      <c r="F21" s="131"/>
      <c r="G21" s="131"/>
      <c r="H21" s="131"/>
      <c r="I21" s="131"/>
      <c r="J21" s="131"/>
      <c r="K21" s="131"/>
      <c r="L21" s="131"/>
      <c r="M21" s="131"/>
      <c r="N21" s="131"/>
      <c r="O21" s="131"/>
      <c r="P21" s="152" t="s">
        <v>235</v>
      </c>
    </row>
    <row r="22" spans="1:163" s="124" customFormat="1" ht="30" customHeight="1" x14ac:dyDescent="0.25">
      <c r="B22" s="81" t="s">
        <v>10</v>
      </c>
      <c r="C22" s="82">
        <f>C6/$D6*100</f>
        <v>132.61080562194695</v>
      </c>
      <c r="D22" s="82">
        <f t="shared" ref="D22:O22" si="1">D6/$D6*100</f>
        <v>100</v>
      </c>
      <c r="E22" s="82">
        <f t="shared" si="1"/>
        <v>86.368925630393008</v>
      </c>
      <c r="F22" s="82">
        <f t="shared" si="1"/>
        <v>86.666560203840831</v>
      </c>
      <c r="G22" s="82">
        <f t="shared" si="1"/>
        <v>80.81408574161118</v>
      </c>
      <c r="H22" s="82">
        <f t="shared" si="1"/>
        <v>85.889488038014321</v>
      </c>
      <c r="I22" s="82">
        <f t="shared" si="1"/>
        <v>91.856729426502497</v>
      </c>
      <c r="J22" s="82">
        <f t="shared" si="1"/>
        <v>88.175351371684798</v>
      </c>
      <c r="K22" s="82">
        <f t="shared" si="1"/>
        <v>80.977967518191846</v>
      </c>
      <c r="L22" s="82">
        <f t="shared" si="1"/>
        <v>86.089354249729851</v>
      </c>
      <c r="M22" s="82">
        <f t="shared" si="1"/>
        <v>86.252313348486538</v>
      </c>
      <c r="N22" s="82">
        <f t="shared" si="1"/>
        <v>97.57179586817773</v>
      </c>
      <c r="O22" s="82">
        <f t="shared" si="1"/>
        <v>107.02271384389357</v>
      </c>
      <c r="P22" s="134">
        <f>(O6/D6*100)-100</f>
        <v>7.0227138438935697</v>
      </c>
    </row>
    <row r="23" spans="1:163" s="179" customFormat="1" ht="15" customHeight="1" x14ac:dyDescent="0.25">
      <c r="A23" s="127"/>
      <c r="B23" s="72" t="s">
        <v>13</v>
      </c>
      <c r="C23" s="73">
        <v>61.547619047619051</v>
      </c>
      <c r="D23" s="73">
        <v>100</v>
      </c>
      <c r="E23" s="73">
        <v>66.148459383753504</v>
      </c>
      <c r="F23" s="73">
        <v>144.54481792717087</v>
      </c>
      <c r="G23" s="73">
        <v>163.54341736694678</v>
      </c>
      <c r="H23" s="73">
        <v>230.71428571428569</v>
      </c>
      <c r="I23" s="73">
        <v>336.93277310924373</v>
      </c>
      <c r="J23" s="73">
        <v>496.2324929971989</v>
      </c>
      <c r="K23" s="73">
        <v>724.61484593837531</v>
      </c>
      <c r="L23" s="73">
        <v>944.4957983193276</v>
      </c>
      <c r="M23" s="73">
        <v>1031.6666666666667</v>
      </c>
      <c r="N23" s="73">
        <v>1895.5672268907563</v>
      </c>
      <c r="O23" s="73">
        <v>2131.1484593837536</v>
      </c>
      <c r="P23" s="180">
        <v>2031.1484593837536</v>
      </c>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row>
    <row r="24" spans="1:163" s="124" customFormat="1" ht="15" customHeight="1" x14ac:dyDescent="0.25">
      <c r="B24" s="125" t="s">
        <v>37</v>
      </c>
      <c r="C24" s="75">
        <v>92.795373473138042</v>
      </c>
      <c r="D24" s="75">
        <v>100</v>
      </c>
      <c r="E24" s="75">
        <v>83.915252405145395</v>
      </c>
      <c r="F24" s="75">
        <v>72.992108961193381</v>
      </c>
      <c r="G24" s="75">
        <v>43.265592908874716</v>
      </c>
      <c r="H24" s="75">
        <v>53.572586747378658</v>
      </c>
      <c r="I24" s="75">
        <v>84.498973083990919</v>
      </c>
      <c r="J24" s="75">
        <v>99.264944330342658</v>
      </c>
      <c r="K24" s="75">
        <v>95.481569560047561</v>
      </c>
      <c r="L24" s="75">
        <v>121.48956869527619</v>
      </c>
      <c r="M24" s="75">
        <v>146.74089287644577</v>
      </c>
      <c r="N24" s="75">
        <v>245.74640579396822</v>
      </c>
      <c r="O24" s="75">
        <v>329.98054264403851</v>
      </c>
      <c r="P24" s="153">
        <v>229.98054264403851</v>
      </c>
    </row>
    <row r="25" spans="1:163" s="177" customFormat="1" ht="15" customHeight="1" x14ac:dyDescent="0.25">
      <c r="A25" s="124"/>
      <c r="B25" s="72" t="s">
        <v>19</v>
      </c>
      <c r="C25" s="73" t="s">
        <v>131</v>
      </c>
      <c r="D25" s="73">
        <v>100</v>
      </c>
      <c r="E25" s="73">
        <v>91.964807242990659</v>
      </c>
      <c r="F25" s="73">
        <v>78.380549065420553</v>
      </c>
      <c r="G25" s="73">
        <v>75.24094626168224</v>
      </c>
      <c r="H25" s="73">
        <v>103.125</v>
      </c>
      <c r="I25" s="73">
        <v>138.32505841121497</v>
      </c>
      <c r="J25" s="73">
        <v>130.21685163551402</v>
      </c>
      <c r="K25" s="73">
        <v>113.1206191588785</v>
      </c>
      <c r="L25" s="73">
        <v>125.64617406542055</v>
      </c>
      <c r="M25" s="73">
        <v>139.02234228971963</v>
      </c>
      <c r="N25" s="73">
        <v>189.90581191588785</v>
      </c>
      <c r="O25" s="73">
        <v>245.34535630841123</v>
      </c>
      <c r="P25" s="180">
        <v>145.34535630841123</v>
      </c>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4"/>
      <c r="BV25" s="124"/>
      <c r="BW25" s="124"/>
      <c r="BX25" s="124"/>
      <c r="BY25" s="124"/>
      <c r="BZ25" s="124"/>
      <c r="CA25" s="124"/>
      <c r="CB25" s="124"/>
      <c r="CC25" s="124"/>
      <c r="CD25" s="124"/>
      <c r="CE25" s="124"/>
      <c r="CF25" s="124"/>
      <c r="CG25" s="124"/>
      <c r="CH25" s="124"/>
      <c r="CI25" s="124"/>
      <c r="CJ25" s="124"/>
      <c r="CK25" s="124"/>
      <c r="CL25" s="124"/>
      <c r="CM25" s="124"/>
      <c r="CN25" s="124"/>
      <c r="CO25" s="124"/>
      <c r="CP25" s="124"/>
      <c r="CQ25" s="124"/>
      <c r="CR25" s="124"/>
      <c r="CS25" s="124"/>
      <c r="CT25" s="124"/>
      <c r="CU25" s="124"/>
      <c r="CV25" s="124"/>
      <c r="CW25" s="124"/>
      <c r="CX25" s="124"/>
      <c r="CY25" s="124"/>
      <c r="CZ25" s="124"/>
      <c r="DA25" s="124"/>
      <c r="DB25" s="124"/>
      <c r="DC25" s="124"/>
      <c r="DD25" s="124"/>
      <c r="DE25" s="124"/>
      <c r="DF25" s="124"/>
      <c r="DG25" s="124"/>
      <c r="DH25" s="124"/>
      <c r="DI25" s="124"/>
      <c r="DJ25" s="124"/>
      <c r="DK25" s="124"/>
      <c r="DL25" s="124"/>
      <c r="DM25" s="124"/>
      <c r="DN25" s="124"/>
      <c r="DO25" s="124"/>
      <c r="DP25" s="124"/>
      <c r="DQ25" s="124"/>
      <c r="DR25" s="124"/>
      <c r="DS25" s="124"/>
      <c r="DT25" s="124"/>
      <c r="DU25" s="124"/>
      <c r="DV25" s="124"/>
      <c r="DW25" s="124"/>
      <c r="DX25" s="124"/>
      <c r="DY25" s="124"/>
      <c r="DZ25" s="124"/>
      <c r="EA25" s="124"/>
      <c r="EB25" s="124"/>
      <c r="EC25" s="124"/>
      <c r="ED25" s="124"/>
      <c r="EE25" s="124"/>
      <c r="EF25" s="124"/>
      <c r="EG25" s="124"/>
      <c r="EH25" s="124"/>
      <c r="EI25" s="124"/>
      <c r="EJ25" s="124"/>
      <c r="EK25" s="124"/>
      <c r="EL25" s="124"/>
      <c r="EM25" s="124"/>
      <c r="EN25" s="124"/>
      <c r="EO25" s="124"/>
      <c r="EP25" s="124"/>
      <c r="EQ25" s="124"/>
      <c r="ER25" s="124"/>
      <c r="ES25" s="124"/>
      <c r="ET25" s="124"/>
      <c r="EU25" s="124"/>
      <c r="EV25" s="124"/>
      <c r="EW25" s="124"/>
      <c r="EX25" s="124"/>
      <c r="EY25" s="124"/>
      <c r="EZ25" s="124"/>
      <c r="FA25" s="124"/>
      <c r="FB25" s="124"/>
      <c r="FC25" s="124"/>
      <c r="FD25" s="124"/>
      <c r="FE25" s="124"/>
      <c r="FF25" s="124"/>
      <c r="FG25" s="124"/>
    </row>
    <row r="26" spans="1:163" s="124" customFormat="1" ht="15" customHeight="1" x14ac:dyDescent="0.25">
      <c r="B26" s="125" t="s">
        <v>30</v>
      </c>
      <c r="C26" s="75">
        <v>74.654265554842851</v>
      </c>
      <c r="D26" s="75">
        <v>100</v>
      </c>
      <c r="E26" s="75">
        <v>89.662604233482995</v>
      </c>
      <c r="F26" s="75">
        <v>78.21808851828095</v>
      </c>
      <c r="G26" s="75">
        <v>66.141116100064153</v>
      </c>
      <c r="H26" s="75">
        <v>79.296985246953184</v>
      </c>
      <c r="I26" s="75">
        <v>124.04618345093009</v>
      </c>
      <c r="J26" s="75">
        <v>161.94098781270046</v>
      </c>
      <c r="K26" s="75">
        <v>158.84028223220014</v>
      </c>
      <c r="L26" s="75">
        <v>142.44130853110968</v>
      </c>
      <c r="M26" s="75">
        <v>113.41757536882618</v>
      </c>
      <c r="N26" s="75">
        <v>166.6581141757537</v>
      </c>
      <c r="O26" s="75">
        <v>201.02245028864658</v>
      </c>
      <c r="P26" s="153">
        <v>101.02245028864658</v>
      </c>
    </row>
    <row r="27" spans="1:163" s="179" customFormat="1" ht="15" customHeight="1" x14ac:dyDescent="0.25">
      <c r="A27" s="127"/>
      <c r="B27" s="72" t="s">
        <v>57</v>
      </c>
      <c r="C27" s="73">
        <v>114.70921936228163</v>
      </c>
      <c r="D27" s="73">
        <v>100</v>
      </c>
      <c r="E27" s="73">
        <v>82.088364007335073</v>
      </c>
      <c r="F27" s="73">
        <v>84.388357968937214</v>
      </c>
      <c r="G27" s="73">
        <v>82.613227905025539</v>
      </c>
      <c r="H27" s="73">
        <v>84.334330198663281</v>
      </c>
      <c r="I27" s="73">
        <v>86.558367471468571</v>
      </c>
      <c r="J27" s="73">
        <v>88.05318875078261</v>
      </c>
      <c r="K27" s="73">
        <v>84.359437221319993</v>
      </c>
      <c r="L27" s="73">
        <v>97.354705024264817</v>
      </c>
      <c r="M27" s="73">
        <v>108.17217696955059</v>
      </c>
      <c r="N27" s="73">
        <v>110.80873215891791</v>
      </c>
      <c r="O27" s="73">
        <v>117.2923824022018</v>
      </c>
      <c r="P27" s="180">
        <v>17.292382402201795</v>
      </c>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row>
    <row r="28" spans="1:163" ht="15" customHeight="1" x14ac:dyDescent="0.25">
      <c r="A28" s="127"/>
      <c r="B28" s="125" t="s">
        <v>12</v>
      </c>
      <c r="C28" s="75">
        <v>158.03454726561549</v>
      </c>
      <c r="D28" s="75">
        <v>100</v>
      </c>
      <c r="E28" s="75">
        <v>99.921770608099905</v>
      </c>
      <c r="F28" s="75">
        <v>86.870095478729866</v>
      </c>
      <c r="G28" s="75">
        <v>79.93829110079929</v>
      </c>
      <c r="H28" s="75">
        <v>82.068948762177783</v>
      </c>
      <c r="I28" s="75">
        <v>82.875537523383798</v>
      </c>
      <c r="J28" s="75">
        <v>71.747527999805641</v>
      </c>
      <c r="K28" s="75">
        <v>58.727922062146206</v>
      </c>
      <c r="L28" s="75">
        <v>58.509754379145306</v>
      </c>
      <c r="M28" s="75">
        <v>55.110420057821727</v>
      </c>
      <c r="N28" s="75">
        <v>84.032457909185879</v>
      </c>
      <c r="O28" s="75">
        <v>95.84169480819223</v>
      </c>
      <c r="P28" s="153">
        <v>-4.15830519180777</v>
      </c>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row>
    <row r="29" spans="1:163" s="179" customFormat="1" ht="15" customHeight="1" x14ac:dyDescent="0.25">
      <c r="A29" s="127"/>
      <c r="B29" s="72" t="s">
        <v>34</v>
      </c>
      <c r="C29" s="73">
        <v>162.70235853094769</v>
      </c>
      <c r="D29" s="73">
        <v>100</v>
      </c>
      <c r="E29" s="73">
        <v>94.821719030904887</v>
      </c>
      <c r="F29" s="73">
        <v>103.17278058385413</v>
      </c>
      <c r="G29" s="73">
        <v>97.259331392860204</v>
      </c>
      <c r="H29" s="73">
        <v>104.75890334731615</v>
      </c>
      <c r="I29" s="73">
        <v>109.81369317695402</v>
      </c>
      <c r="J29" s="73">
        <v>105.19583083640099</v>
      </c>
      <c r="K29" s="73">
        <v>94.966719458950436</v>
      </c>
      <c r="L29" s="73">
        <v>96.220143823302791</v>
      </c>
      <c r="M29" s="73">
        <v>92.843720571868843</v>
      </c>
      <c r="N29" s="73">
        <v>90.547577262220699</v>
      </c>
      <c r="O29" s="73">
        <v>95.767913706018319</v>
      </c>
      <c r="P29" s="180">
        <v>-4.2320862939816806</v>
      </c>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c r="DU29" s="127"/>
      <c r="DV29" s="127"/>
      <c r="DW29" s="127"/>
      <c r="DX29" s="127"/>
      <c r="DY29" s="127"/>
      <c r="DZ29" s="127"/>
      <c r="EA29" s="127"/>
      <c r="EB29" s="127"/>
      <c r="EC29" s="127"/>
      <c r="ED29" s="127"/>
      <c r="EE29" s="127"/>
      <c r="EF29" s="127"/>
      <c r="EG29" s="127"/>
      <c r="EH29" s="127"/>
      <c r="EI29" s="127"/>
      <c r="EJ29" s="127"/>
      <c r="EK29" s="127"/>
      <c r="EL29" s="127"/>
      <c r="EM29" s="127"/>
      <c r="EN29" s="127"/>
      <c r="EO29" s="127"/>
      <c r="EP29" s="127"/>
      <c r="EQ29" s="127"/>
      <c r="ER29" s="127"/>
      <c r="ES29" s="127"/>
      <c r="ET29" s="127"/>
      <c r="EU29" s="127"/>
      <c r="EV29" s="127"/>
      <c r="EW29" s="127"/>
      <c r="EX29" s="127"/>
      <c r="EY29" s="127"/>
      <c r="EZ29" s="127"/>
      <c r="FA29" s="127"/>
      <c r="FB29" s="127"/>
      <c r="FC29" s="127"/>
      <c r="FD29" s="127"/>
      <c r="FE29" s="127"/>
      <c r="FF29" s="127"/>
      <c r="FG29" s="127"/>
    </row>
    <row r="30" spans="1:163" ht="15" customHeight="1" x14ac:dyDescent="0.25">
      <c r="A30" s="127"/>
      <c r="B30" s="125" t="s">
        <v>46</v>
      </c>
      <c r="C30" s="126" t="s">
        <v>131</v>
      </c>
      <c r="D30" s="75">
        <v>100</v>
      </c>
      <c r="E30" s="75">
        <v>83.501660938741523</v>
      </c>
      <c r="F30" s="75">
        <v>72.564355393025011</v>
      </c>
      <c r="G30" s="75">
        <v>66.594549057524972</v>
      </c>
      <c r="H30" s="75">
        <v>78.341741735992116</v>
      </c>
      <c r="I30" s="75">
        <v>87.709053312782999</v>
      </c>
      <c r="J30" s="75">
        <v>69.922170420930698</v>
      </c>
      <c r="K30" s="75">
        <v>78.77444739084234</v>
      </c>
      <c r="L30" s="75">
        <v>80.869049100604059</v>
      </c>
      <c r="M30" s="75">
        <v>64.951799270527189</v>
      </c>
      <c r="N30" s="75">
        <v>71.35048200729473</v>
      </c>
      <c r="O30" s="75">
        <v>83.225954680783857</v>
      </c>
      <c r="P30" s="153">
        <v>-16.774045319216143</v>
      </c>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c r="CE30" s="127"/>
      <c r="CF30" s="127"/>
      <c r="CG30" s="127"/>
      <c r="CH30" s="127"/>
      <c r="CI30" s="127"/>
      <c r="CJ30" s="127"/>
      <c r="CK30" s="127"/>
      <c r="CL30" s="127"/>
      <c r="CM30" s="127"/>
      <c r="CN30" s="127"/>
      <c r="CO30" s="127"/>
      <c r="CP30" s="127"/>
      <c r="CQ30" s="127"/>
      <c r="CR30" s="127"/>
      <c r="CS30" s="127"/>
      <c r="CT30" s="127"/>
      <c r="CU30" s="127"/>
      <c r="CV30" s="127"/>
      <c r="CW30" s="127"/>
      <c r="CX30" s="127"/>
      <c r="CY30" s="127"/>
      <c r="CZ30" s="127"/>
      <c r="DA30" s="127"/>
      <c r="DB30" s="127"/>
      <c r="DC30" s="127"/>
      <c r="DD30" s="127"/>
      <c r="DE30" s="127"/>
      <c r="DF30" s="127"/>
      <c r="DG30" s="127"/>
      <c r="DH30" s="127"/>
      <c r="DI30" s="127"/>
      <c r="DJ30" s="127"/>
      <c r="DK30" s="127"/>
      <c r="DL30" s="127"/>
      <c r="DM30" s="127"/>
      <c r="DN30" s="127"/>
      <c r="DO30" s="127"/>
      <c r="DP30" s="127"/>
      <c r="DQ30" s="127"/>
      <c r="DR30" s="127"/>
      <c r="DS30" s="127"/>
      <c r="DT30" s="127"/>
      <c r="DU30" s="127"/>
      <c r="DV30" s="127"/>
      <c r="DW30" s="127"/>
      <c r="DX30" s="127"/>
      <c r="DY30" s="127"/>
      <c r="DZ30" s="127"/>
      <c r="EA30" s="127"/>
      <c r="EB30" s="127"/>
      <c r="EC30" s="127"/>
      <c r="ED30" s="127"/>
      <c r="EE30" s="127"/>
      <c r="EF30" s="127"/>
      <c r="EG30" s="127"/>
      <c r="EH30" s="127"/>
      <c r="EI30" s="127"/>
      <c r="EJ30" s="127"/>
      <c r="EK30" s="127"/>
      <c r="EL30" s="127"/>
      <c r="EM30" s="127"/>
      <c r="EN30" s="127"/>
      <c r="EO30" s="127"/>
      <c r="EP30" s="127"/>
      <c r="EQ30" s="127"/>
      <c r="ER30" s="127"/>
      <c r="ES30" s="127"/>
      <c r="ET30" s="127"/>
      <c r="EU30" s="127"/>
      <c r="EV30" s="127"/>
      <c r="EW30" s="127"/>
      <c r="EX30" s="127"/>
      <c r="EY30" s="127"/>
      <c r="EZ30" s="127"/>
      <c r="FA30" s="127"/>
      <c r="FB30" s="127"/>
      <c r="FC30" s="127"/>
      <c r="FD30" s="127"/>
      <c r="FE30" s="127"/>
      <c r="FF30" s="127"/>
      <c r="FG30" s="127"/>
    </row>
    <row r="31" spans="1:163" s="179" customFormat="1" ht="15" customHeight="1" x14ac:dyDescent="0.25">
      <c r="A31" s="127"/>
      <c r="B31" s="72" t="s">
        <v>7</v>
      </c>
      <c r="C31" s="73">
        <v>107.98033668784493</v>
      </c>
      <c r="D31" s="73">
        <v>100</v>
      </c>
      <c r="E31" s="73">
        <v>82.336873347864397</v>
      </c>
      <c r="F31" s="73">
        <v>84.145063302879933</v>
      </c>
      <c r="G31" s="73">
        <v>68.251634744701576</v>
      </c>
      <c r="H31" s="73">
        <v>70.317210035709323</v>
      </c>
      <c r="I31" s="73">
        <v>75.859110513379406</v>
      </c>
      <c r="J31" s="73">
        <v>57.97523535686129</v>
      </c>
      <c r="K31" s="73">
        <v>43.97532810833372</v>
      </c>
      <c r="L31" s="73">
        <v>43.88118536381765</v>
      </c>
      <c r="M31" s="73">
        <v>48.840142837267543</v>
      </c>
      <c r="N31" s="73">
        <v>60.514306914622274</v>
      </c>
      <c r="O31" s="73">
        <v>72.451421416314986</v>
      </c>
      <c r="P31" s="180">
        <v>-27.548578583685014</v>
      </c>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CJ31" s="127"/>
      <c r="CK31" s="127"/>
      <c r="CL31" s="127"/>
      <c r="CM31" s="127"/>
      <c r="CN31" s="127"/>
      <c r="CO31" s="127"/>
      <c r="CP31" s="127"/>
      <c r="CQ31" s="127"/>
      <c r="CR31" s="127"/>
      <c r="CS31" s="127"/>
      <c r="CT31" s="127"/>
      <c r="CU31" s="127"/>
      <c r="CV31" s="127"/>
      <c r="CW31" s="127"/>
      <c r="CX31" s="127"/>
      <c r="CY31" s="127"/>
      <c r="CZ31" s="127"/>
      <c r="DA31" s="127"/>
      <c r="DB31" s="127"/>
      <c r="DC31" s="127"/>
      <c r="DD31" s="127"/>
      <c r="DE31" s="127"/>
      <c r="DF31" s="127"/>
      <c r="DG31" s="127"/>
      <c r="DH31" s="127"/>
      <c r="DI31" s="127"/>
      <c r="DJ31" s="127"/>
      <c r="DK31" s="127"/>
      <c r="DL31" s="127"/>
      <c r="DM31" s="127"/>
      <c r="DN31" s="127"/>
      <c r="DO31" s="127"/>
      <c r="DP31" s="127"/>
      <c r="DQ31" s="127"/>
      <c r="DR31" s="127"/>
      <c r="DS31" s="127"/>
      <c r="DT31" s="127"/>
      <c r="DU31" s="127"/>
      <c r="DV31" s="127"/>
      <c r="DW31" s="127"/>
      <c r="DX31" s="127"/>
      <c r="DY31" s="127"/>
      <c r="DZ31" s="127"/>
      <c r="EA31" s="127"/>
      <c r="EB31" s="127"/>
      <c r="EC31" s="127"/>
      <c r="ED31" s="127"/>
      <c r="EE31" s="127"/>
      <c r="EF31" s="127"/>
      <c r="EG31" s="127"/>
      <c r="EH31" s="127"/>
      <c r="EI31" s="127"/>
      <c r="EJ31" s="127"/>
      <c r="EK31" s="127"/>
      <c r="EL31" s="127"/>
      <c r="EM31" s="127"/>
      <c r="EN31" s="127"/>
      <c r="EO31" s="127"/>
      <c r="EP31" s="127"/>
      <c r="EQ31" s="127"/>
      <c r="ER31" s="127"/>
      <c r="ES31" s="127"/>
      <c r="ET31" s="127"/>
      <c r="EU31" s="127"/>
      <c r="EV31" s="127"/>
      <c r="EW31" s="127"/>
      <c r="EX31" s="127"/>
      <c r="EY31" s="127"/>
      <c r="EZ31" s="127"/>
      <c r="FA31" s="127"/>
      <c r="FB31" s="127"/>
      <c r="FC31" s="127"/>
      <c r="FD31" s="127"/>
      <c r="FE31" s="127"/>
      <c r="FF31" s="127"/>
      <c r="FG31" s="127"/>
    </row>
    <row r="32" spans="1:163" ht="15" customHeight="1" x14ac:dyDescent="0.25">
      <c r="A32" s="77"/>
      <c r="B32" s="125" t="s">
        <v>31</v>
      </c>
      <c r="C32" s="75">
        <v>105.94198968454911</v>
      </c>
      <c r="D32" s="75">
        <v>100</v>
      </c>
      <c r="E32" s="75">
        <v>73.06249681166112</v>
      </c>
      <c r="F32" s="75">
        <v>62.263492378863262</v>
      </c>
      <c r="G32" s="75">
        <v>58.630262772821119</v>
      </c>
      <c r="H32" s="75">
        <v>59.874721775481873</v>
      </c>
      <c r="I32" s="75">
        <v>53.86963654279355</v>
      </c>
      <c r="J32" s="75">
        <v>46.03612287253894</v>
      </c>
      <c r="K32" s="75">
        <v>34.172280380506429</v>
      </c>
      <c r="L32" s="75">
        <v>34.898550413342967</v>
      </c>
      <c r="M32" s="75">
        <v>35.017492233877746</v>
      </c>
      <c r="N32" s="75">
        <v>36.394854625172165</v>
      </c>
      <c r="O32" s="75">
        <v>37.674754531468565</v>
      </c>
      <c r="P32" s="153">
        <v>-62.325245468531435</v>
      </c>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I32" s="127"/>
      <c r="CJ32" s="127"/>
      <c r="CK32" s="127"/>
      <c r="CL32" s="127"/>
      <c r="CM32" s="127"/>
      <c r="CN32" s="127"/>
      <c r="CO32" s="127"/>
      <c r="CP32" s="127"/>
      <c r="CQ32" s="127"/>
      <c r="CR32" s="127"/>
      <c r="CS32" s="127"/>
      <c r="CT32" s="127"/>
      <c r="CU32" s="127"/>
      <c r="CV32" s="127"/>
      <c r="CW32" s="127"/>
      <c r="CX32" s="127"/>
      <c r="CY32" s="127"/>
      <c r="CZ32" s="127"/>
      <c r="DA32" s="127"/>
      <c r="DB32" s="127"/>
      <c r="DC32" s="127"/>
      <c r="DD32" s="127"/>
      <c r="DE32" s="127"/>
      <c r="DF32" s="127"/>
      <c r="DG32" s="127"/>
      <c r="DH32" s="127"/>
      <c r="DI32" s="127"/>
      <c r="DJ32" s="127"/>
      <c r="DK32" s="127"/>
      <c r="DL32" s="127"/>
      <c r="DM32" s="127"/>
      <c r="DN32" s="127"/>
      <c r="DO32" s="127"/>
      <c r="DP32" s="127"/>
      <c r="DQ32" s="127"/>
      <c r="DR32" s="127"/>
      <c r="DS32" s="127"/>
      <c r="DT32" s="127"/>
      <c r="DU32" s="127"/>
      <c r="DV32" s="127"/>
      <c r="DW32" s="127"/>
      <c r="DX32" s="127"/>
      <c r="DY32" s="127"/>
      <c r="DZ32" s="127"/>
      <c r="EA32" s="127"/>
      <c r="EB32" s="127"/>
      <c r="EC32" s="127"/>
      <c r="ED32" s="127"/>
      <c r="EE32" s="127"/>
      <c r="EF32" s="127"/>
      <c r="EG32" s="127"/>
      <c r="EH32" s="127"/>
      <c r="EI32" s="127"/>
      <c r="EJ32" s="127"/>
      <c r="EK32" s="127"/>
      <c r="EL32" s="127"/>
      <c r="EM32" s="127"/>
      <c r="EN32" s="127"/>
      <c r="EO32" s="127"/>
      <c r="EP32" s="127"/>
      <c r="EQ32" s="127"/>
      <c r="ER32" s="127"/>
      <c r="ES32" s="127"/>
      <c r="ET32" s="127"/>
      <c r="EU32" s="127"/>
      <c r="EV32" s="127"/>
      <c r="EW32" s="127"/>
      <c r="EX32" s="127"/>
      <c r="EY32" s="127"/>
      <c r="EZ32" s="127"/>
      <c r="FA32" s="127"/>
      <c r="FB32" s="127"/>
      <c r="FC32" s="127"/>
      <c r="FD32" s="127"/>
      <c r="FE32" s="127"/>
      <c r="FF32" s="127"/>
      <c r="FG32" s="127"/>
    </row>
    <row r="33" spans="1:163" ht="30" customHeight="1" x14ac:dyDescent="0.25">
      <c r="A33" s="77"/>
      <c r="B33" s="84" t="s">
        <v>69</v>
      </c>
      <c r="C33" s="85">
        <f t="shared" ref="C33:O33" si="2">C17/$D17*100</f>
        <v>131.63226207356897</v>
      </c>
      <c r="D33" s="85">
        <f t="shared" si="2"/>
        <v>100</v>
      </c>
      <c r="E33" s="85">
        <f t="shared" si="2"/>
        <v>87.526833738689817</v>
      </c>
      <c r="F33" s="85">
        <f t="shared" si="2"/>
        <v>87.293687686812788</v>
      </c>
      <c r="G33" s="85">
        <f t="shared" si="2"/>
        <v>81.315715231385099</v>
      </c>
      <c r="H33" s="85">
        <f t="shared" si="2"/>
        <v>85.873827493311154</v>
      </c>
      <c r="I33" s="85">
        <f t="shared" si="2"/>
        <v>90.912393213613342</v>
      </c>
      <c r="J33" s="85">
        <f t="shared" si="2"/>
        <v>86.011605672655122</v>
      </c>
      <c r="K33" s="85">
        <f t="shared" si="2"/>
        <v>77.550011893325163</v>
      </c>
      <c r="L33" s="85">
        <f t="shared" si="2"/>
        <v>81.459246461044287</v>
      </c>
      <c r="M33" s="85">
        <f t="shared" si="2"/>
        <v>81.615685175385053</v>
      </c>
      <c r="N33" s="85">
        <f t="shared" si="2"/>
        <v>88.480623099603378</v>
      </c>
      <c r="O33" s="85">
        <f t="shared" si="2"/>
        <v>96.711615445464957</v>
      </c>
      <c r="P33" s="135">
        <f>(O17/D17*100)-100</f>
        <v>-3.2883845545350425</v>
      </c>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c r="CI33" s="127"/>
      <c r="CJ33" s="127"/>
      <c r="CK33" s="127"/>
      <c r="CL33" s="127"/>
      <c r="CM33" s="127"/>
      <c r="CN33" s="127"/>
      <c r="CO33" s="127"/>
      <c r="CP33" s="127"/>
      <c r="CQ33" s="127"/>
      <c r="CR33" s="127"/>
      <c r="CS33" s="127"/>
      <c r="CT33" s="127"/>
      <c r="CU33" s="127"/>
      <c r="CV33" s="127"/>
      <c r="CW33" s="127"/>
      <c r="CX33" s="127"/>
      <c r="CY33" s="127"/>
      <c r="CZ33" s="127"/>
      <c r="DA33" s="127"/>
      <c r="DB33" s="127"/>
      <c r="DC33" s="127"/>
      <c r="DD33" s="127"/>
      <c r="DE33" s="127"/>
      <c r="DF33" s="127"/>
      <c r="DG33" s="127"/>
      <c r="DH33" s="127"/>
      <c r="DI33" s="127"/>
      <c r="DJ33" s="127"/>
      <c r="DK33" s="127"/>
      <c r="DL33" s="127"/>
      <c r="DM33" s="127"/>
      <c r="DN33" s="127"/>
      <c r="DO33" s="127"/>
      <c r="DP33" s="127"/>
      <c r="DQ33" s="127"/>
      <c r="DR33" s="127"/>
      <c r="DS33" s="127"/>
      <c r="DT33" s="127"/>
      <c r="DU33" s="127"/>
      <c r="DV33" s="127"/>
      <c r="DW33" s="127"/>
      <c r="DX33" s="127"/>
      <c r="DY33" s="127"/>
      <c r="DZ33" s="127"/>
      <c r="EA33" s="127"/>
      <c r="EB33" s="127"/>
      <c r="EC33" s="127"/>
      <c r="ED33" s="127"/>
      <c r="EE33" s="127"/>
      <c r="EF33" s="127"/>
      <c r="EG33" s="127"/>
      <c r="EH33" s="127"/>
      <c r="EI33" s="127"/>
      <c r="EJ33" s="127"/>
      <c r="EK33" s="127"/>
      <c r="EL33" s="127"/>
      <c r="EM33" s="127"/>
      <c r="EN33" s="127"/>
      <c r="EO33" s="127"/>
      <c r="EP33" s="127"/>
      <c r="EQ33" s="127"/>
      <c r="ER33" s="127"/>
      <c r="ES33" s="127"/>
      <c r="ET33" s="127"/>
      <c r="EU33" s="127"/>
      <c r="EV33" s="127"/>
      <c r="EW33" s="127"/>
      <c r="EX33" s="127"/>
      <c r="EY33" s="127"/>
      <c r="EZ33" s="127"/>
      <c r="FA33" s="127"/>
      <c r="FB33" s="127"/>
      <c r="FC33" s="127"/>
      <c r="FD33" s="127"/>
      <c r="FE33" s="127"/>
      <c r="FF33" s="127"/>
      <c r="FG33" s="127"/>
    </row>
    <row r="34" spans="1:163" ht="15" customHeight="1" x14ac:dyDescent="0.25">
      <c r="A34" s="77"/>
      <c r="B34" s="81" t="s">
        <v>70</v>
      </c>
      <c r="C34" s="82">
        <f t="shared" ref="C34:O34" si="3">C18/$D18*100</f>
        <v>71.323720784966952</v>
      </c>
      <c r="D34" s="82">
        <f t="shared" si="3"/>
        <v>100</v>
      </c>
      <c r="E34" s="82">
        <f t="shared" si="3"/>
        <v>71.771380979647077</v>
      </c>
      <c r="F34" s="82">
        <f t="shared" si="3"/>
        <v>133.8816303159648</v>
      </c>
      <c r="G34" s="82">
        <f t="shared" si="3"/>
        <v>142.10087970433605</v>
      </c>
      <c r="H34" s="82">
        <f t="shared" si="3"/>
        <v>198.48524282962885</v>
      </c>
      <c r="I34" s="82">
        <f t="shared" si="3"/>
        <v>281.12019155692047</v>
      </c>
      <c r="J34" s="82">
        <f t="shared" si="3"/>
        <v>393.2746863775962</v>
      </c>
      <c r="K34" s="82">
        <f t="shared" si="3"/>
        <v>566.69095830513766</v>
      </c>
      <c r="L34" s="82">
        <f t="shared" si="3"/>
        <v>734.62599552339805</v>
      </c>
      <c r="M34" s="82">
        <f t="shared" si="3"/>
        <v>808.46910624121597</v>
      </c>
      <c r="N34" s="82">
        <f t="shared" si="3"/>
        <v>1450.5439591900474</v>
      </c>
      <c r="O34" s="82">
        <f t="shared" si="3"/>
        <v>1647.6966321378377</v>
      </c>
      <c r="P34" s="134">
        <f>(O18/D18*100)-100</f>
        <v>1547.6966321378377</v>
      </c>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row>
    <row r="35" spans="1:163" ht="15" customHeight="1" x14ac:dyDescent="0.25">
      <c r="B35" s="81" t="s">
        <v>71</v>
      </c>
      <c r="C35" s="82">
        <f t="shared" ref="C35:O35" si="4">C19/$D19*100</f>
        <v>144.72263477211794</v>
      </c>
      <c r="D35" s="82">
        <f t="shared" si="4"/>
        <v>100</v>
      </c>
      <c r="E35" s="82">
        <f t="shared" si="4"/>
        <v>92.517108808851106</v>
      </c>
      <c r="F35" s="82">
        <f t="shared" si="4"/>
        <v>94.52219463132765</v>
      </c>
      <c r="G35" s="82">
        <f t="shared" si="4"/>
        <v>86.164808273701126</v>
      </c>
      <c r="H35" s="82">
        <f t="shared" si="4"/>
        <v>93.267724937516064</v>
      </c>
      <c r="I35" s="82">
        <f t="shared" si="4"/>
        <v>101.76753174594779</v>
      </c>
      <c r="J35" s="82">
        <f t="shared" si="4"/>
        <v>96.128888952491053</v>
      </c>
      <c r="K35" s="82">
        <f t="shared" si="4"/>
        <v>86.954622691578535</v>
      </c>
      <c r="L35" s="82">
        <f t="shared" si="4"/>
        <v>87.91043875329531</v>
      </c>
      <c r="M35" s="82">
        <f t="shared" si="4"/>
        <v>84.248696345786158</v>
      </c>
      <c r="N35" s="82">
        <f t="shared" si="4"/>
        <v>94.106941643702484</v>
      </c>
      <c r="O35" s="82">
        <f t="shared" si="4"/>
        <v>105.35958830596816</v>
      </c>
      <c r="P35" s="134">
        <f>(O19/D19*100)-100</f>
        <v>5.3595883059681597</v>
      </c>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127"/>
      <c r="CS35" s="127"/>
      <c r="CT35" s="127"/>
      <c r="CU35" s="127"/>
      <c r="CV35" s="127"/>
      <c r="CW35" s="127"/>
      <c r="CX35" s="127"/>
      <c r="CY35" s="127"/>
      <c r="CZ35" s="127"/>
      <c r="DA35" s="127"/>
      <c r="DB35" s="127"/>
      <c r="DC35" s="127"/>
      <c r="DD35" s="127"/>
      <c r="DE35" s="127"/>
      <c r="DF35" s="127"/>
      <c r="DG35" s="127"/>
      <c r="DH35" s="127"/>
      <c r="DI35" s="127"/>
      <c r="DJ35" s="127"/>
      <c r="DK35" s="127"/>
      <c r="DL35" s="127"/>
      <c r="DM35" s="127"/>
      <c r="DN35" s="127"/>
      <c r="DO35" s="127"/>
      <c r="DP35" s="127"/>
      <c r="DQ35" s="127"/>
      <c r="DR35" s="127"/>
      <c r="DS35" s="127"/>
      <c r="DT35" s="127"/>
      <c r="DU35" s="127"/>
      <c r="DV35" s="127"/>
      <c r="DW35" s="127"/>
      <c r="DX35" s="127"/>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row>
    <row r="36" spans="1:163" ht="30" customHeight="1" thickBot="1" x14ac:dyDescent="0.3">
      <c r="B36" s="86" t="s">
        <v>72</v>
      </c>
      <c r="C36" s="87">
        <f t="shared" ref="C36:O36" si="5">C20/$D20*100</f>
        <v>150.52137198433786</v>
      </c>
      <c r="D36" s="87">
        <f t="shared" si="5"/>
        <v>100</v>
      </c>
      <c r="E36" s="87">
        <f t="shared" si="5"/>
        <v>94.208569043999489</v>
      </c>
      <c r="F36" s="87">
        <f t="shared" si="5"/>
        <v>96.245456346939093</v>
      </c>
      <c r="G36" s="87">
        <f t="shared" si="5"/>
        <v>89.138481432677281</v>
      </c>
      <c r="H36" s="87">
        <f t="shared" si="5"/>
        <v>96.964702342810938</v>
      </c>
      <c r="I36" s="87">
        <f t="shared" si="5"/>
        <v>105.59601590513618</v>
      </c>
      <c r="J36" s="87">
        <f t="shared" si="5"/>
        <v>101.8259229419584</v>
      </c>
      <c r="K36" s="87">
        <f t="shared" si="5"/>
        <v>93.301501846390181</v>
      </c>
      <c r="L36" s="87">
        <f t="shared" si="5"/>
        <v>94.296296082007785</v>
      </c>
      <c r="M36" s="87">
        <f t="shared" si="5"/>
        <v>89.318781107660527</v>
      </c>
      <c r="N36" s="87">
        <f t="shared" si="5"/>
        <v>98.518042262301677</v>
      </c>
      <c r="O36" s="87">
        <f t="shared" si="5"/>
        <v>109.3959056858403</v>
      </c>
      <c r="P36" s="154">
        <f>(O20/D20*100)-100</f>
        <v>9.3959056858403045</v>
      </c>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c r="CI36" s="127"/>
      <c r="CJ36" s="127"/>
      <c r="CK36" s="127"/>
      <c r="CL36" s="127"/>
      <c r="CM36" s="127"/>
      <c r="CN36" s="127"/>
      <c r="CO36" s="127"/>
      <c r="CP36" s="127"/>
      <c r="CQ36" s="127"/>
      <c r="CR36" s="127"/>
      <c r="CS36" s="127"/>
      <c r="CT36" s="127"/>
      <c r="CU36" s="127"/>
      <c r="CV36" s="127"/>
      <c r="CW36" s="127"/>
      <c r="CX36" s="127"/>
      <c r="CY36" s="127"/>
      <c r="CZ36" s="127"/>
      <c r="DA36" s="127"/>
      <c r="DB36" s="127"/>
      <c r="DC36" s="127"/>
      <c r="DD36" s="127"/>
      <c r="DE36" s="127"/>
      <c r="DF36" s="127"/>
      <c r="DG36" s="127"/>
      <c r="DH36" s="127"/>
      <c r="DI36" s="127"/>
      <c r="DJ36" s="127"/>
      <c r="DK36" s="127"/>
      <c r="DL36" s="127"/>
      <c r="DM36" s="127"/>
      <c r="DN36" s="127"/>
      <c r="DO36" s="127"/>
      <c r="DP36" s="127"/>
      <c r="DQ36" s="127"/>
      <c r="DR36" s="127"/>
      <c r="DS36" s="127"/>
      <c r="DT36" s="127"/>
      <c r="DU36" s="127"/>
      <c r="DV36" s="127"/>
      <c r="DW36" s="127"/>
      <c r="DX36" s="127"/>
      <c r="DY36" s="127"/>
      <c r="DZ36" s="127"/>
      <c r="EA36" s="127"/>
      <c r="EB36" s="127"/>
      <c r="EC36" s="127"/>
      <c r="ED36" s="127"/>
      <c r="EE36" s="127"/>
      <c r="EF36" s="127"/>
      <c r="EG36" s="127"/>
      <c r="EH36" s="127"/>
      <c r="EI36" s="127"/>
      <c r="EJ36" s="127"/>
      <c r="EK36" s="127"/>
      <c r="EL36" s="127"/>
      <c r="EM36" s="127"/>
      <c r="EN36" s="127"/>
      <c r="EO36" s="127"/>
      <c r="EP36" s="127"/>
      <c r="EQ36" s="127"/>
      <c r="ER36" s="127"/>
      <c r="ES36" s="127"/>
      <c r="ET36" s="127"/>
      <c r="EU36" s="127"/>
      <c r="EV36" s="127"/>
      <c r="EW36" s="127"/>
      <c r="EX36" s="127"/>
      <c r="EY36" s="127"/>
      <c r="EZ36" s="127"/>
      <c r="FA36" s="127"/>
      <c r="FB36" s="127"/>
      <c r="FC36" s="127"/>
      <c r="FD36" s="127"/>
      <c r="FE36" s="127"/>
      <c r="FF36" s="127"/>
      <c r="FG36" s="127"/>
    </row>
    <row r="37" spans="1:163" x14ac:dyDescent="0.25">
      <c r="B37" s="77"/>
      <c r="C37" s="77"/>
      <c r="D37" s="77"/>
      <c r="E37" s="77"/>
      <c r="F37" s="77"/>
      <c r="G37" s="77"/>
      <c r="H37" s="77"/>
      <c r="I37" s="77"/>
      <c r="J37" s="77"/>
      <c r="K37" s="77"/>
      <c r="L37" s="77"/>
      <c r="M37" s="77"/>
      <c r="N37" s="77"/>
      <c r="O37" s="77"/>
      <c r="P37" s="77"/>
    </row>
    <row r="38" spans="1:163" s="1" customFormat="1" ht="15" customHeight="1" x14ac:dyDescent="0.25">
      <c r="A38" s="123" t="s">
        <v>63</v>
      </c>
      <c r="B38" s="409" t="s">
        <v>326</v>
      </c>
      <c r="C38" s="451"/>
      <c r="D38" s="451"/>
      <c r="E38" s="451"/>
    </row>
    <row r="39" spans="1:163" s="1" customFormat="1" ht="15" customHeight="1" x14ac:dyDescent="0.25">
      <c r="A39" s="369" t="s">
        <v>282</v>
      </c>
      <c r="B39" s="371" t="s">
        <v>323</v>
      </c>
      <c r="C39" s="359"/>
      <c r="D39" s="15"/>
      <c r="E39" s="15"/>
      <c r="F39"/>
      <c r="G39"/>
    </row>
    <row r="40" spans="1:163" s="1" customFormat="1" ht="15" customHeight="1" x14ac:dyDescent="0.25">
      <c r="A40" s="370" t="s">
        <v>4</v>
      </c>
      <c r="B40" s="497" t="s">
        <v>344</v>
      </c>
      <c r="C40" s="408"/>
      <c r="D40" s="15"/>
      <c r="E40" s="15"/>
      <c r="F40"/>
      <c r="G40"/>
    </row>
    <row r="41" spans="1:163" x14ac:dyDescent="0.25">
      <c r="B41" s="77"/>
      <c r="C41" s="77"/>
      <c r="D41" s="77"/>
      <c r="E41" s="77"/>
      <c r="F41" s="77"/>
      <c r="G41" s="77"/>
      <c r="H41" s="77"/>
      <c r="I41" s="77"/>
      <c r="J41" s="77"/>
      <c r="K41" s="77"/>
      <c r="L41" s="77"/>
      <c r="M41" s="77"/>
      <c r="N41" s="77"/>
      <c r="O41" s="77"/>
      <c r="P41" s="77"/>
    </row>
    <row r="42" spans="1:163" x14ac:dyDescent="0.25">
      <c r="B42" s="77"/>
      <c r="C42" s="77"/>
      <c r="D42" s="77"/>
      <c r="E42" s="77"/>
      <c r="F42" s="77"/>
      <c r="G42" s="77"/>
      <c r="H42" s="77"/>
      <c r="I42" s="77"/>
      <c r="J42" s="77"/>
      <c r="K42" s="77"/>
      <c r="L42" s="77"/>
      <c r="M42" s="77"/>
      <c r="N42" s="77"/>
      <c r="O42" s="77"/>
      <c r="P42" s="77"/>
    </row>
    <row r="43" spans="1:163" x14ac:dyDescent="0.25">
      <c r="B43" s="77"/>
      <c r="C43" s="77"/>
      <c r="D43" s="77"/>
      <c r="E43" s="77"/>
      <c r="F43" s="77"/>
      <c r="G43" s="77"/>
      <c r="H43" s="77"/>
      <c r="I43" s="77"/>
      <c r="J43" s="77"/>
      <c r="K43" s="77"/>
      <c r="L43" s="77"/>
      <c r="M43" s="77"/>
      <c r="N43" s="77"/>
      <c r="O43" s="77"/>
      <c r="P43" s="77"/>
    </row>
    <row r="44" spans="1:163" x14ac:dyDescent="0.25">
      <c r="B44" s="77"/>
      <c r="C44" s="77"/>
      <c r="D44" s="77"/>
      <c r="E44" s="77"/>
      <c r="F44" s="77"/>
      <c r="G44" s="77"/>
      <c r="H44" s="77"/>
      <c r="I44" s="77"/>
      <c r="J44" s="77"/>
      <c r="K44" s="77"/>
      <c r="L44" s="77"/>
      <c r="M44" s="77"/>
      <c r="N44" s="77"/>
      <c r="O44" s="77"/>
      <c r="P44" s="77"/>
    </row>
    <row r="45" spans="1:163" x14ac:dyDescent="0.25">
      <c r="B45" s="77"/>
      <c r="C45" s="77"/>
      <c r="D45" s="77"/>
      <c r="E45" s="77"/>
      <c r="F45" s="77"/>
      <c r="G45" s="77"/>
      <c r="H45" s="77"/>
      <c r="I45" s="77"/>
      <c r="J45" s="77"/>
      <c r="K45" s="77"/>
      <c r="L45" s="77"/>
      <c r="M45" s="77"/>
      <c r="N45" s="77"/>
      <c r="O45" s="77"/>
      <c r="P45" s="77"/>
    </row>
    <row r="46" spans="1:163" x14ac:dyDescent="0.25">
      <c r="B46" s="77"/>
      <c r="C46" s="77"/>
      <c r="D46" s="77"/>
      <c r="E46" s="77"/>
      <c r="F46" s="77"/>
      <c r="G46" s="77"/>
      <c r="H46" s="77"/>
      <c r="I46" s="77"/>
      <c r="J46" s="77"/>
      <c r="K46" s="77"/>
      <c r="L46" s="77"/>
      <c r="M46" s="77"/>
      <c r="N46" s="77"/>
      <c r="O46" s="77"/>
      <c r="P46" s="77"/>
    </row>
    <row r="47" spans="1:163" x14ac:dyDescent="0.25">
      <c r="B47" s="77"/>
      <c r="C47" s="77"/>
      <c r="D47" s="77"/>
      <c r="E47" s="77"/>
      <c r="F47" s="77"/>
      <c r="G47" s="77"/>
      <c r="H47" s="77"/>
      <c r="I47" s="77"/>
      <c r="J47" s="77"/>
      <c r="K47" s="77"/>
      <c r="L47" s="77"/>
      <c r="M47" s="77"/>
      <c r="N47" s="77"/>
      <c r="O47" s="77"/>
      <c r="P47" s="77"/>
    </row>
    <row r="48" spans="1:163" x14ac:dyDescent="0.25">
      <c r="B48" s="77"/>
      <c r="C48" s="77"/>
      <c r="D48" s="77"/>
      <c r="E48" s="77"/>
      <c r="F48" s="77"/>
      <c r="G48" s="77"/>
      <c r="H48" s="77"/>
      <c r="I48" s="77"/>
      <c r="J48" s="77"/>
      <c r="K48" s="77"/>
      <c r="L48" s="77"/>
      <c r="M48" s="77"/>
      <c r="N48" s="77"/>
      <c r="O48" s="77"/>
      <c r="P48" s="77"/>
    </row>
    <row r="49" spans="2:16" x14ac:dyDescent="0.25">
      <c r="B49" s="77"/>
      <c r="C49" s="77"/>
      <c r="D49" s="77"/>
      <c r="E49" s="77"/>
      <c r="F49" s="77"/>
      <c r="G49" s="77"/>
      <c r="H49" s="77"/>
      <c r="I49" s="77"/>
      <c r="J49" s="77"/>
      <c r="K49" s="77"/>
      <c r="L49" s="77"/>
      <c r="M49" s="77"/>
      <c r="N49" s="77"/>
      <c r="O49" s="77"/>
      <c r="P49" s="77"/>
    </row>
  </sheetData>
  <mergeCells count="4">
    <mergeCell ref="B3:O3"/>
    <mergeCell ref="B2:P2"/>
    <mergeCell ref="B40:C40"/>
    <mergeCell ref="B38:E38"/>
  </mergeCells>
  <hyperlinks>
    <hyperlink ref="P1" location="Índice!A1" display="[índice Ç]"/>
    <hyperlink ref="B40" r:id="rId1"/>
  </hyperlinks>
  <pageMargins left="0.7" right="0.7" top="0.75" bottom="0.75" header="0.3" footer="0.3"/>
  <ignoredErrors>
    <ignoredError sqref="C22:O22 C33:O36 P6 P7:P20 P22 P33:P3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22"/>
  <sheetViews>
    <sheetView showGridLines="0" topLeftCell="A214" zoomScaleNormal="100" workbookViewId="0">
      <selection activeCell="D222" sqref="D222"/>
    </sheetView>
  </sheetViews>
  <sheetFormatPr defaultRowHeight="15" x14ac:dyDescent="0.25"/>
  <cols>
    <col min="1" max="1" width="12.7109375" style="77" customWidth="1"/>
    <col min="2" max="2" width="23.140625" style="77" customWidth="1"/>
    <col min="3" max="8" width="16.7109375" style="109" customWidth="1"/>
    <col min="9" max="9" width="16.7109375" style="77" customWidth="1"/>
    <col min="10" max="16384" width="9.140625" style="77"/>
  </cols>
  <sheetData>
    <row r="1" spans="1:9" s="78" customFormat="1" ht="30" customHeight="1" x14ac:dyDescent="0.25">
      <c r="A1" s="99" t="s">
        <v>0</v>
      </c>
      <c r="B1" s="45" t="s">
        <v>1</v>
      </c>
      <c r="C1" s="375"/>
      <c r="D1" s="375"/>
      <c r="E1" s="282"/>
      <c r="F1" s="282"/>
      <c r="G1" s="282"/>
      <c r="H1" s="282"/>
      <c r="I1" s="283" t="s">
        <v>269</v>
      </c>
    </row>
    <row r="2" spans="1:9" s="78" customFormat="1" ht="45" customHeight="1" x14ac:dyDescent="0.25">
      <c r="B2" s="454" t="s">
        <v>290</v>
      </c>
      <c r="C2" s="455"/>
      <c r="D2" s="455"/>
      <c r="E2" s="455"/>
      <c r="F2" s="455"/>
      <c r="G2" s="455"/>
      <c r="H2" s="455"/>
      <c r="I2" s="455"/>
    </row>
    <row r="3" spans="1:9" s="78" customFormat="1" ht="15" customHeight="1" thickBot="1" x14ac:dyDescent="0.3">
      <c r="B3" s="452" t="s">
        <v>132</v>
      </c>
      <c r="C3" s="453"/>
      <c r="D3" s="453"/>
      <c r="E3" s="453"/>
      <c r="F3" s="453"/>
      <c r="G3" s="453"/>
      <c r="H3" s="453"/>
      <c r="I3" s="447"/>
    </row>
    <row r="4" spans="1:9" s="78" customFormat="1" ht="45" customHeight="1" x14ac:dyDescent="0.25">
      <c r="B4" s="79" t="s">
        <v>62</v>
      </c>
      <c r="C4" s="80" t="s">
        <v>133</v>
      </c>
      <c r="D4" s="218" t="s">
        <v>226</v>
      </c>
      <c r="E4" s="218" t="s">
        <v>227</v>
      </c>
      <c r="F4" s="280" t="s">
        <v>286</v>
      </c>
      <c r="G4" s="80" t="s">
        <v>130</v>
      </c>
      <c r="H4" s="80" t="s">
        <v>134</v>
      </c>
      <c r="I4" s="80" t="s">
        <v>291</v>
      </c>
    </row>
    <row r="5" spans="1:9" ht="15" customHeight="1" x14ac:dyDescent="0.25">
      <c r="B5" s="107" t="s">
        <v>135</v>
      </c>
      <c r="C5" s="104">
        <f>385148127.9/1000</f>
        <v>385148.12789999996</v>
      </c>
      <c r="D5" s="161">
        <f>20496777409.458/1000</f>
        <v>20496777.409458</v>
      </c>
      <c r="E5" s="162">
        <f>1131329200.54746/1000</f>
        <v>1131329.20054746</v>
      </c>
      <c r="F5" s="269">
        <f>94013759/1000</f>
        <v>94013.759000000005</v>
      </c>
      <c r="G5" s="103">
        <v>1.8790667441255386</v>
      </c>
      <c r="H5" s="110">
        <v>34.043999999999997</v>
      </c>
      <c r="I5" s="277">
        <f>(C5/F5)*100</f>
        <v>409.67208629536867</v>
      </c>
    </row>
    <row r="6" spans="1:9" ht="15" customHeight="1" x14ac:dyDescent="0.25">
      <c r="B6" s="108" t="s">
        <v>11</v>
      </c>
      <c r="C6" s="105">
        <f>1084655275.85105/100</f>
        <v>10846552.758510498</v>
      </c>
      <c r="D6" s="158">
        <f>384312674445.534/1000</f>
        <v>384312674.44553399</v>
      </c>
      <c r="E6" s="159">
        <f>108595055663.44/1000</f>
        <v>108595055.66344</v>
      </c>
      <c r="F6" s="270">
        <f>4643830666.01779/1000</f>
        <v>4643830.6660177894</v>
      </c>
      <c r="G6" s="102">
        <v>0.28223250180752801</v>
      </c>
      <c r="H6" s="111">
        <v>0.999</v>
      </c>
      <c r="I6" s="278">
        <f>(C6/F6)*100</f>
        <v>233.5690842020239</v>
      </c>
    </row>
    <row r="7" spans="1:9" ht="15" customHeight="1" x14ac:dyDescent="0.25">
      <c r="B7" s="156" t="s">
        <v>237</v>
      </c>
      <c r="C7" s="155">
        <f>1027055044.84093/1000</f>
        <v>1027055.04484093</v>
      </c>
      <c r="D7" s="163">
        <f>12648095824.4086/1000</f>
        <v>12648095.8244086</v>
      </c>
      <c r="E7" s="164">
        <f>3958492276.72765/1000</f>
        <v>3958492.2767276503</v>
      </c>
      <c r="F7" s="269">
        <f>1265256715.45608/1000</f>
        <v>1265256.7154560799</v>
      </c>
      <c r="G7" s="103">
        <v>8.120234532528567</v>
      </c>
      <c r="H7" s="110">
        <v>25.946000000000002</v>
      </c>
      <c r="I7" s="277">
        <f t="shared" ref="I7:I70" si="0">(C7/F7)*100</f>
        <v>81.173648975315913</v>
      </c>
    </row>
    <row r="8" spans="1:9" ht="15" customHeight="1" x14ac:dyDescent="0.25">
      <c r="B8" s="108" t="s">
        <v>12</v>
      </c>
      <c r="C8" s="105">
        <f>13963678614.5033/1000</f>
        <v>13963678.6145033</v>
      </c>
      <c r="D8" s="158">
        <f>3425928305280.74/1000</f>
        <v>3425928305.2807403</v>
      </c>
      <c r="E8" s="159">
        <f>1774418604651.16/1000</f>
        <v>1774418604.65116</v>
      </c>
      <c r="F8" s="270">
        <f>27221322304.1601/1000</f>
        <v>27221322.304160099</v>
      </c>
      <c r="G8" s="102">
        <v>0.40758817377992484</v>
      </c>
      <c r="H8" s="111">
        <v>0.78700000000000003</v>
      </c>
      <c r="I8" s="278">
        <f t="shared" si="0"/>
        <v>51.29684171282635</v>
      </c>
    </row>
    <row r="9" spans="1:9" ht="15" customHeight="1" x14ac:dyDescent="0.25">
      <c r="B9" s="327" t="s">
        <v>292</v>
      </c>
      <c r="C9" s="106" t="s">
        <v>131</v>
      </c>
      <c r="D9" s="155" t="s">
        <v>131</v>
      </c>
      <c r="E9" s="155" t="s">
        <v>131</v>
      </c>
      <c r="F9" s="271" t="s">
        <v>131</v>
      </c>
      <c r="G9" s="103" t="s">
        <v>131</v>
      </c>
      <c r="H9" s="110" t="s">
        <v>131</v>
      </c>
      <c r="I9" s="277" t="s">
        <v>131</v>
      </c>
    </row>
    <row r="10" spans="1:9" ht="15" customHeight="1" x14ac:dyDescent="0.25">
      <c r="B10" s="108" t="s">
        <v>82</v>
      </c>
      <c r="C10" s="105" t="s">
        <v>131</v>
      </c>
      <c r="D10" s="160" t="s">
        <v>131</v>
      </c>
      <c r="E10" s="160" t="s">
        <v>131</v>
      </c>
      <c r="F10" s="272" t="s">
        <v>131</v>
      </c>
      <c r="G10" s="102" t="s">
        <v>131</v>
      </c>
      <c r="H10" s="111" t="s">
        <v>131</v>
      </c>
      <c r="I10" s="278" t="s">
        <v>131</v>
      </c>
    </row>
    <row r="11" spans="1:9" ht="15" customHeight="1" x14ac:dyDescent="0.25">
      <c r="B11" s="107" t="s">
        <v>13</v>
      </c>
      <c r="C11" s="106">
        <f>45000/1000</f>
        <v>45</v>
      </c>
      <c r="D11" s="163">
        <f>114147030253.231/1000</f>
        <v>114147030.253231</v>
      </c>
      <c r="E11" s="164">
        <f>68599831060.0639/1000</f>
        <v>68599831.060063899</v>
      </c>
      <c r="F11" s="269">
        <f>-6897954558.89544/1000</f>
        <v>-6897954.5588954398</v>
      </c>
      <c r="G11" s="103">
        <v>3.9422839035031512E-5</v>
      </c>
      <c r="H11" s="110">
        <v>0</v>
      </c>
      <c r="I11" s="277">
        <f t="shared" si="0"/>
        <v>-6.5236730128888809E-4</v>
      </c>
    </row>
    <row r="12" spans="1:9" ht="15" customHeight="1" x14ac:dyDescent="0.25">
      <c r="B12" s="326" t="s">
        <v>293</v>
      </c>
      <c r="C12" s="105">
        <f>20556413.7037037/1000</f>
        <v>20556.4137037037</v>
      </c>
      <c r="D12" s="158">
        <f>1134159259.25926/1000</f>
        <v>1134159.25925926</v>
      </c>
      <c r="E12" s="159">
        <f>552592592.592593/1000</f>
        <v>552592.59259259293</v>
      </c>
      <c r="F12" s="270">
        <f>70860057.4074074/1000</f>
        <v>70860.05740740741</v>
      </c>
      <c r="G12" s="102">
        <v>1.8124803492879371</v>
      </c>
      <c r="H12" s="111">
        <v>3.72</v>
      </c>
      <c r="I12" s="278">
        <f t="shared" si="0"/>
        <v>29.009874470627821</v>
      </c>
    </row>
    <row r="13" spans="1:9" ht="15" customHeight="1" x14ac:dyDescent="0.25">
      <c r="B13" s="107" t="s">
        <v>14</v>
      </c>
      <c r="C13" s="106">
        <f>245920000/1000</f>
        <v>245920</v>
      </c>
      <c r="D13" s="163">
        <f>711049600000/1000</f>
        <v>711049600</v>
      </c>
      <c r="E13" s="164">
        <f>399419733333.333/1000</f>
        <v>399419733.33333302</v>
      </c>
      <c r="F13" s="269">
        <f>12182373333.3333/1000</f>
        <v>12182373.3333333</v>
      </c>
      <c r="G13" s="103">
        <v>3.4585491645027298E-2</v>
      </c>
      <c r="H13" s="110">
        <v>6.2E-2</v>
      </c>
      <c r="I13" s="277">
        <f t="shared" si="0"/>
        <v>2.0186542742629299</v>
      </c>
    </row>
    <row r="14" spans="1:9" ht="15" customHeight="1" x14ac:dyDescent="0.25">
      <c r="B14" s="108" t="s">
        <v>15</v>
      </c>
      <c r="C14" s="105">
        <f>213206941.380752/1000</f>
        <v>213206.94138075199</v>
      </c>
      <c r="D14" s="158">
        <f>205788796017.176/1000</f>
        <v>205788796.017176</v>
      </c>
      <c r="E14" s="159">
        <f>76558894332.0296/1000</f>
        <v>76558894.332029596</v>
      </c>
      <c r="F14" s="270">
        <f>1601573992.54282/1000</f>
        <v>1601573.9925428201</v>
      </c>
      <c r="G14" s="102">
        <v>0.10360473723892963</v>
      </c>
      <c r="H14" s="111">
        <v>0.27800000000000002</v>
      </c>
      <c r="I14" s="278">
        <f t="shared" si="0"/>
        <v>13.312337885947013</v>
      </c>
    </row>
    <row r="15" spans="1:9" ht="15" customHeight="1" x14ac:dyDescent="0.25">
      <c r="B15" s="107" t="s">
        <v>16</v>
      </c>
      <c r="C15" s="106">
        <f>572929996.951878/1000</f>
        <v>572929.99695187795</v>
      </c>
      <c r="D15" s="163">
        <f>475501675472.598/1000</f>
        <v>475501675.47259802</v>
      </c>
      <c r="E15" s="164">
        <f>93742745512.0002/1000</f>
        <v>93742745.512000203</v>
      </c>
      <c r="F15" s="269">
        <f>12128102278.0133/1000</f>
        <v>12128102.2780133</v>
      </c>
      <c r="G15" s="103">
        <v>0.12048958531690693</v>
      </c>
      <c r="H15" s="110">
        <v>0.61099999999999999</v>
      </c>
      <c r="I15" s="277">
        <f t="shared" si="0"/>
        <v>4.7239871813294885</v>
      </c>
    </row>
    <row r="16" spans="1:9" ht="15" customHeight="1" x14ac:dyDescent="0.25">
      <c r="B16" s="108" t="s">
        <v>136</v>
      </c>
      <c r="C16" s="105">
        <f>2122873984.83005/1000</f>
        <v>2122873.9848300498</v>
      </c>
      <c r="D16" s="158">
        <f>9950522732.78837/1000</f>
        <v>9950522.7327883709</v>
      </c>
      <c r="E16" s="159">
        <f>2495770554.30294/1000</f>
        <v>2495770.5543029397</v>
      </c>
      <c r="F16" s="270">
        <f>489406794.407051/1000</f>
        <v>489406.794407051</v>
      </c>
      <c r="G16" s="102">
        <v>21.334296115267222</v>
      </c>
      <c r="H16" s="111">
        <v>85.058999999999997</v>
      </c>
      <c r="I16" s="278">
        <f t="shared" si="0"/>
        <v>433.76471456675489</v>
      </c>
    </row>
    <row r="17" spans="2:9" ht="15" customHeight="1" x14ac:dyDescent="0.25">
      <c r="B17" s="107" t="s">
        <v>83</v>
      </c>
      <c r="C17" s="106">
        <f>4884916.88629764/1000</f>
        <v>4884.9168862976403</v>
      </c>
      <c r="D17" s="155" t="s">
        <v>131</v>
      </c>
      <c r="E17" s="155" t="s">
        <v>131</v>
      </c>
      <c r="F17" s="269">
        <f>-139951959.81066/1000</f>
        <v>-139951.95981066002</v>
      </c>
      <c r="G17" s="103" t="s">
        <v>131</v>
      </c>
      <c r="H17" s="110" t="s">
        <v>131</v>
      </c>
      <c r="I17" s="277">
        <f t="shared" si="0"/>
        <v>-3.4904240661627095</v>
      </c>
    </row>
    <row r="18" spans="2:9" ht="15" customHeight="1" x14ac:dyDescent="0.25">
      <c r="B18" s="108" t="s">
        <v>17</v>
      </c>
      <c r="C18" s="105">
        <f>1827467583.70526/1000</f>
        <v>1827467.58370526</v>
      </c>
      <c r="D18" s="158">
        <f>1532407884934.19/1000</f>
        <v>1532407884.93419</v>
      </c>
      <c r="E18" s="159">
        <f>325795387163.633/1000</f>
        <v>325795387.16363299</v>
      </c>
      <c r="F18" s="270">
        <f>56595431544.2428/1000</f>
        <v>56595431.544242799</v>
      </c>
      <c r="G18" s="102">
        <v>0.1192546450375217</v>
      </c>
      <c r="H18" s="111">
        <v>0.56100000000000005</v>
      </c>
      <c r="I18" s="278">
        <f t="shared" si="0"/>
        <v>3.2290019421031517</v>
      </c>
    </row>
    <row r="19" spans="2:9" ht="15" customHeight="1" x14ac:dyDescent="0.25">
      <c r="B19" s="107" t="s">
        <v>18</v>
      </c>
      <c r="C19" s="106">
        <f>2753894460.58646/1000</f>
        <v>2753894.4605864603</v>
      </c>
      <c r="D19" s="163">
        <f>394454292689.194/1000</f>
        <v>394454292.68919396</v>
      </c>
      <c r="E19" s="164">
        <f>225611591931.132/1000</f>
        <v>225611591.93113199</v>
      </c>
      <c r="F19" s="269">
        <f>4143622141.40523/1000</f>
        <v>4143622.1414052299</v>
      </c>
      <c r="G19" s="103">
        <v>0.69815299557567712</v>
      </c>
      <c r="H19" s="110">
        <v>1.2210000000000001</v>
      </c>
      <c r="I19" s="277">
        <f t="shared" si="0"/>
        <v>66.46104221396331</v>
      </c>
    </row>
    <row r="20" spans="2:9" ht="15" customHeight="1" x14ac:dyDescent="0.25">
      <c r="B20" s="108" t="s">
        <v>137</v>
      </c>
      <c r="C20" s="105">
        <f>1990180000/1000</f>
        <v>1990180</v>
      </c>
      <c r="D20" s="158">
        <f>66604589419.4634/1000</f>
        <v>66604589.419463404</v>
      </c>
      <c r="E20" s="159">
        <f>35772813677.9566/1000</f>
        <v>35772813.677956596</v>
      </c>
      <c r="F20" s="270">
        <f>5293250000/1000</f>
        <v>5293250</v>
      </c>
      <c r="G20" s="102">
        <v>2.9880523509667101</v>
      </c>
      <c r="H20" s="111">
        <v>5.5629999999999997</v>
      </c>
      <c r="I20" s="278">
        <f t="shared" si="0"/>
        <v>37.598450857223824</v>
      </c>
    </row>
    <row r="21" spans="2:9" ht="15" customHeight="1" x14ac:dyDescent="0.25">
      <c r="B21" s="107" t="s">
        <v>138</v>
      </c>
      <c r="C21" s="106" t="s">
        <v>131</v>
      </c>
      <c r="D21" s="163">
        <f>8149004000/1000</f>
        <v>8149004</v>
      </c>
      <c r="E21" s="164">
        <f>3649800000/1000</f>
        <v>3649800</v>
      </c>
      <c r="F21" s="269">
        <f>360217300/1000</f>
        <v>360217.3</v>
      </c>
      <c r="G21" s="103" t="s">
        <v>131</v>
      </c>
      <c r="H21" s="110" t="s">
        <v>131</v>
      </c>
      <c r="I21" s="277" t="s">
        <v>131</v>
      </c>
    </row>
    <row r="22" spans="2:9" ht="15" customHeight="1" x14ac:dyDescent="0.25">
      <c r="B22" s="108" t="s">
        <v>84</v>
      </c>
      <c r="C22" s="105" t="s">
        <v>131</v>
      </c>
      <c r="D22" s="158">
        <f>30362317939.1722/1000</f>
        <v>30362317.939172201</v>
      </c>
      <c r="E22" s="159">
        <f>22853434611.0065/1000</f>
        <v>22853434.611006502</v>
      </c>
      <c r="F22" s="270">
        <f>891223404.255319/1000</f>
        <v>891223.40425531904</v>
      </c>
      <c r="G22" s="102" t="s">
        <v>131</v>
      </c>
      <c r="H22" s="111" t="s">
        <v>131</v>
      </c>
      <c r="I22" s="278" t="s">
        <v>131</v>
      </c>
    </row>
    <row r="23" spans="2:9" ht="15" customHeight="1" x14ac:dyDescent="0.25">
      <c r="B23" s="107" t="s">
        <v>85</v>
      </c>
      <c r="C23" s="106">
        <f>14084934467.5276/1000</f>
        <v>14084934.4675276</v>
      </c>
      <c r="D23" s="163">
        <f>116355057337.05/1000</f>
        <v>116355057.33705001</v>
      </c>
      <c r="E23" s="164">
        <f>26961055663.8905/1000</f>
        <v>26961055.6638905</v>
      </c>
      <c r="F23" s="269">
        <f>1178439622.04103/1000</f>
        <v>1178439.6220410299</v>
      </c>
      <c r="G23" s="103">
        <v>12.105133021186361</v>
      </c>
      <c r="H23" s="110">
        <v>52.241999999999997</v>
      </c>
      <c r="I23" s="277">
        <f t="shared" si="0"/>
        <v>1195.2190170874283</v>
      </c>
    </row>
    <row r="24" spans="2:9" ht="15" customHeight="1" x14ac:dyDescent="0.25">
      <c r="B24" s="108" t="s">
        <v>86</v>
      </c>
      <c r="C24" s="105" t="s">
        <v>131</v>
      </c>
      <c r="D24" s="158">
        <f>4224850000/1000</f>
        <v>4224850</v>
      </c>
      <c r="E24" s="159">
        <f>1794800000/1000</f>
        <v>1794800</v>
      </c>
      <c r="F24" s="270">
        <f>356372288.21/1000</f>
        <v>356372.28820999997</v>
      </c>
      <c r="G24" s="102" t="s">
        <v>131</v>
      </c>
      <c r="H24" s="111"/>
      <c r="I24" s="278" t="s">
        <v>131</v>
      </c>
    </row>
    <row r="25" spans="2:9" ht="15" customHeight="1" x14ac:dyDescent="0.25">
      <c r="B25" s="156" t="s">
        <v>19</v>
      </c>
      <c r="C25" s="106">
        <f>10123473137.2205/1000</f>
        <v>10123473.1372205</v>
      </c>
      <c r="D25" s="163">
        <f>482951304124.374/1000</f>
        <v>482951304.12437403</v>
      </c>
      <c r="E25" s="164">
        <f>415950147757.934/1000</f>
        <v>415950147.75793403</v>
      </c>
      <c r="F25" s="269">
        <f>-1917113506.65421/1000</f>
        <v>-1917113.5066542102</v>
      </c>
      <c r="G25" s="103">
        <v>2.0961685061758151</v>
      </c>
      <c r="H25" s="110">
        <v>2.4340000000000002</v>
      </c>
      <c r="I25" s="277">
        <f t="shared" si="0"/>
        <v>-528.05809891184867</v>
      </c>
    </row>
    <row r="26" spans="2:9" ht="15" customHeight="1" x14ac:dyDescent="0.25">
      <c r="B26" s="108" t="s">
        <v>87</v>
      </c>
      <c r="C26" s="105">
        <f>75945646.6882624/1000</f>
        <v>75945.646688262408</v>
      </c>
      <c r="D26" s="160" t="s">
        <v>131</v>
      </c>
      <c r="E26" s="160" t="s">
        <v>131</v>
      </c>
      <c r="F26" s="270">
        <f>194201408.788436/1000</f>
        <v>194201.40878843601</v>
      </c>
      <c r="G26" s="102" t="s">
        <v>131</v>
      </c>
      <c r="H26" s="111" t="s">
        <v>131</v>
      </c>
      <c r="I26" s="278">
        <f t="shared" si="0"/>
        <v>39.106640452334709</v>
      </c>
    </row>
    <row r="27" spans="2:9" ht="15" customHeight="1" x14ac:dyDescent="0.25">
      <c r="B27" s="327" t="s">
        <v>294</v>
      </c>
      <c r="C27" s="106" t="s">
        <v>131</v>
      </c>
      <c r="D27" s="163">
        <f>7557286829.00186/1000</f>
        <v>7557286.8290018598</v>
      </c>
      <c r="E27" s="155" t="s">
        <v>131</v>
      </c>
      <c r="F27" s="269">
        <f>158589230.6156/1000</f>
        <v>158589.23061559998</v>
      </c>
      <c r="G27" s="103" t="s">
        <v>131</v>
      </c>
      <c r="H27" s="110" t="s">
        <v>131</v>
      </c>
      <c r="I27" s="277" t="s">
        <v>131</v>
      </c>
    </row>
    <row r="28" spans="2:9" ht="15" customHeight="1" x14ac:dyDescent="0.25">
      <c r="B28" s="108" t="s">
        <v>88</v>
      </c>
      <c r="C28" s="105">
        <f>1190775526.82694/1000</f>
        <v>1190775.52682694</v>
      </c>
      <c r="D28" s="158">
        <f>5473536000/1000</f>
        <v>5473536</v>
      </c>
      <c r="E28" s="160" t="s">
        <v>131</v>
      </c>
      <c r="F28" s="270">
        <f>132761095.074378/1000</f>
        <v>132761.09507437801</v>
      </c>
      <c r="G28" s="102">
        <v>21.755141956258989</v>
      </c>
      <c r="H28" s="111" t="s">
        <v>131</v>
      </c>
      <c r="I28" s="278">
        <f t="shared" si="0"/>
        <v>896.93108222692842</v>
      </c>
    </row>
    <row r="29" spans="2:9" ht="15" customHeight="1" x14ac:dyDescent="0.25">
      <c r="B29" s="107" t="s">
        <v>139</v>
      </c>
      <c r="C29" s="106">
        <f>1053100000/1000</f>
        <v>1053100</v>
      </c>
      <c r="D29" s="163">
        <f>63267017440.3121/1000</f>
        <v>63267017.440312102</v>
      </c>
      <c r="E29" s="164">
        <f>51649151977.1205/1000</f>
        <v>51649151.977120496</v>
      </c>
      <c r="F29" s="269">
        <f>1463600000/1000</f>
        <v>1463600</v>
      </c>
      <c r="G29" s="103">
        <v>1.6645323939816263</v>
      </c>
      <c r="H29" s="110">
        <v>2.0390000000000001</v>
      </c>
      <c r="I29" s="277">
        <f t="shared" si="0"/>
        <v>71.952719322219181</v>
      </c>
    </row>
    <row r="30" spans="2:9" ht="15" customHeight="1" x14ac:dyDescent="0.25">
      <c r="B30" s="108" t="s">
        <v>141</v>
      </c>
      <c r="C30" s="105">
        <f>1110532146.98188/1000</f>
        <v>1110532.1469818798</v>
      </c>
      <c r="D30" s="158">
        <f>27035110130.246/1000</f>
        <v>27035110.130245999</v>
      </c>
      <c r="E30" s="159">
        <f>12774727351.6643/1000</f>
        <v>12774727.351664301</v>
      </c>
      <c r="F30" s="270">
        <f>1059965390.78481/1000</f>
        <v>1059965.3907848098</v>
      </c>
      <c r="G30" s="102">
        <v>4.1077404221092921</v>
      </c>
      <c r="H30" s="111">
        <v>8.6929999999999996</v>
      </c>
      <c r="I30" s="278">
        <f t="shared" si="0"/>
        <v>104.77060445904085</v>
      </c>
    </row>
    <row r="31" spans="2:9" ht="15" customHeight="1" x14ac:dyDescent="0.25">
      <c r="B31" s="107" t="s">
        <v>142</v>
      </c>
      <c r="C31" s="106">
        <f>1848812709.3024/1000</f>
        <v>1848812.7093024</v>
      </c>
      <c r="D31" s="163">
        <f>17465958605.6645/1000</f>
        <v>17465958.605664503</v>
      </c>
      <c r="E31" s="164">
        <f>5443899782.13508/1000</f>
        <v>5443899.7821350805</v>
      </c>
      <c r="F31" s="269">
        <f>349607722.787202/1000</f>
        <v>349607.72278720199</v>
      </c>
      <c r="G31" s="103">
        <v>10.585234690197884</v>
      </c>
      <c r="H31" s="110">
        <v>33.960999999999999</v>
      </c>
      <c r="I31" s="277">
        <f t="shared" si="0"/>
        <v>528.82490540053914</v>
      </c>
    </row>
    <row r="32" spans="2:9" ht="15" customHeight="1" x14ac:dyDescent="0.25">
      <c r="B32" s="108" t="s">
        <v>89</v>
      </c>
      <c r="C32" s="105">
        <f>18151356.6957915/1000</f>
        <v>18151.356695791503</v>
      </c>
      <c r="D32" s="158">
        <f>14504339385.9436/1000</f>
        <v>14504339.385943599</v>
      </c>
      <c r="E32" s="159">
        <f>6453875381.06705/1000</f>
        <v>6453875.3810670497</v>
      </c>
      <c r="F32" s="270">
        <f>292521951.071894/1000</f>
        <v>292521.95107189397</v>
      </c>
      <c r="G32" s="102">
        <v>0.12514431862634395</v>
      </c>
      <c r="H32" s="111">
        <v>0.28100000000000003</v>
      </c>
      <c r="I32" s="278">
        <f t="shared" si="0"/>
        <v>6.2051263603565916</v>
      </c>
    </row>
    <row r="33" spans="2:9" ht="15" customHeight="1" x14ac:dyDescent="0.25">
      <c r="B33" s="107" t="s">
        <v>20</v>
      </c>
      <c r="C33" s="106">
        <f>2582640312.73/1000</f>
        <v>2582640.3127299999</v>
      </c>
      <c r="D33" s="163">
        <f>2252664120777.39/1000</f>
        <v>2252664120.77739</v>
      </c>
      <c r="E33" s="164">
        <f>282874928219.527/1000</f>
        <v>282874928.21952701</v>
      </c>
      <c r="F33" s="269">
        <f>76110663188.77/1000</f>
        <v>76110663.188770011</v>
      </c>
      <c r="G33" s="103">
        <v>0.11464826420011236</v>
      </c>
      <c r="H33" s="110">
        <v>0.91300000000000003</v>
      </c>
      <c r="I33" s="277">
        <f t="shared" si="0"/>
        <v>3.3932700156934961</v>
      </c>
    </row>
    <row r="34" spans="2:9" ht="15" customHeight="1" x14ac:dyDescent="0.25">
      <c r="B34" s="108" t="s">
        <v>143</v>
      </c>
      <c r="C34" s="105" t="s">
        <v>131</v>
      </c>
      <c r="D34" s="158">
        <f>16953952625.403/1000</f>
        <v>16953952.625402998</v>
      </c>
      <c r="E34" s="159">
        <f>13794618273.6857/1000</f>
        <v>13794618.273685699</v>
      </c>
      <c r="F34" s="270">
        <f>850000000/1000</f>
        <v>850000</v>
      </c>
      <c r="G34" s="102" t="s">
        <v>131</v>
      </c>
      <c r="H34" s="111" t="s">
        <v>131</v>
      </c>
      <c r="I34" s="278" t="s">
        <v>131</v>
      </c>
    </row>
    <row r="35" spans="2:9" ht="15" customHeight="1" x14ac:dyDescent="0.25">
      <c r="B35" s="107" t="s">
        <v>21</v>
      </c>
      <c r="C35" s="106">
        <f>1448873977.60049/1000</f>
        <v>1448873.9776004902</v>
      </c>
      <c r="D35" s="163">
        <f>50972109856.598/1000</f>
        <v>50972109.856597997</v>
      </c>
      <c r="E35" s="164">
        <f>33961534036.9383/1000</f>
        <v>33961534.036938302</v>
      </c>
      <c r="F35" s="269">
        <f>2094803207.31178/1000</f>
        <v>2094803.20731178</v>
      </c>
      <c r="G35" s="103">
        <v>2.842483824343685</v>
      </c>
      <c r="H35" s="110">
        <v>4.266</v>
      </c>
      <c r="I35" s="277">
        <f t="shared" si="0"/>
        <v>69.165159407016645</v>
      </c>
    </row>
    <row r="36" spans="2:9" ht="15" customHeight="1" x14ac:dyDescent="0.25">
      <c r="B36" s="108" t="s">
        <v>90</v>
      </c>
      <c r="C36" s="105" t="s">
        <v>131</v>
      </c>
      <c r="D36" s="158">
        <f>10726304840.633/1000</f>
        <v>10726304.840632999</v>
      </c>
      <c r="E36" s="159">
        <f>2948427956.60771/1000</f>
        <v>2948427.9566077101</v>
      </c>
      <c r="F36" s="270">
        <f>40091169.2535/1000</f>
        <v>40091.169253499997</v>
      </c>
      <c r="G36" s="102" t="s">
        <v>131</v>
      </c>
      <c r="H36" s="111" t="s">
        <v>131</v>
      </c>
      <c r="I36" s="278" t="s">
        <v>131</v>
      </c>
    </row>
    <row r="37" spans="2:9" ht="15" customHeight="1" x14ac:dyDescent="0.25">
      <c r="B37" s="107" t="s">
        <v>91</v>
      </c>
      <c r="C37" s="106">
        <f>46433649.08889/1000</f>
        <v>46433.649088890001</v>
      </c>
      <c r="D37" s="163">
        <f>2472384864.13151/1000</f>
        <v>2472384.8641315098</v>
      </c>
      <c r="E37" s="164">
        <f>221281632.783928/1000</f>
        <v>221281.63278392801</v>
      </c>
      <c r="F37" s="269">
        <f>604919.651526489/1000</f>
        <v>604.91965152648891</v>
      </c>
      <c r="G37" s="103">
        <v>1.8780914639356154</v>
      </c>
      <c r="H37" s="110">
        <v>20.984000000000002</v>
      </c>
      <c r="I37" s="277">
        <f t="shared" si="0"/>
        <v>7676.0027504010932</v>
      </c>
    </row>
    <row r="38" spans="2:9" ht="15" customHeight="1" x14ac:dyDescent="0.25">
      <c r="B38" s="108" t="s">
        <v>140</v>
      </c>
      <c r="C38" s="105">
        <f>18111734.6944742/1000</f>
        <v>18111.734694474202</v>
      </c>
      <c r="D38" s="158">
        <f>1779561112.28857/1000</f>
        <v>1779561.11228857</v>
      </c>
      <c r="E38" s="160" t="s">
        <v>131</v>
      </c>
      <c r="F38" s="270">
        <f>9622110.23738738/1000</f>
        <v>9622.11023738738</v>
      </c>
      <c r="G38" s="102">
        <v>1.0177641312459307</v>
      </c>
      <c r="H38" s="111" t="s">
        <v>131</v>
      </c>
      <c r="I38" s="278">
        <f t="shared" si="0"/>
        <v>188.23038031823614</v>
      </c>
    </row>
    <row r="39" spans="2:9" ht="15" customHeight="1" x14ac:dyDescent="0.25">
      <c r="B39" s="107" t="s">
        <v>22</v>
      </c>
      <c r="C39" s="106">
        <f>166725364.424962/1000</f>
        <v>166725.36442496203</v>
      </c>
      <c r="D39" s="163">
        <f>1827021561.6512/1000</f>
        <v>1827021.5616512001</v>
      </c>
      <c r="E39" s="164">
        <f>581899714.31662/1000</f>
        <v>581899.71431662003</v>
      </c>
      <c r="F39" s="269">
        <f>74062455.8717816/1000</f>
        <v>74062.455871781596</v>
      </c>
      <c r="G39" s="103">
        <v>9.1255280137077808</v>
      </c>
      <c r="H39" s="110">
        <v>28.652000000000001</v>
      </c>
      <c r="I39" s="277">
        <f t="shared" si="0"/>
        <v>225.11455022987667</v>
      </c>
    </row>
    <row r="40" spans="2:9" ht="15" customHeight="1" x14ac:dyDescent="0.25">
      <c r="B40" s="108" t="s">
        <v>144</v>
      </c>
      <c r="C40" s="105">
        <f>210419765.073227/1000</f>
        <v>210419.765073227</v>
      </c>
      <c r="D40" s="158">
        <f>25321590401.7168/1000</f>
        <v>25321590.401716802</v>
      </c>
      <c r="E40" s="159">
        <f>7384621750.96098/1000</f>
        <v>7384621.7509609805</v>
      </c>
      <c r="F40" s="270">
        <f>525754619.342192/1000</f>
        <v>525754.61934219196</v>
      </c>
      <c r="G40" s="102">
        <v>0.83098953002162301</v>
      </c>
      <c r="H40" s="111">
        <v>2.8490000000000002</v>
      </c>
      <c r="I40" s="278">
        <f t="shared" si="0"/>
        <v>40.022428207382703</v>
      </c>
    </row>
    <row r="41" spans="2:9" ht="15" customHeight="1" x14ac:dyDescent="0.25">
      <c r="B41" s="327" t="s">
        <v>295</v>
      </c>
      <c r="C41" s="106">
        <f>255612047.125/1000</f>
        <v>255612.04712500001</v>
      </c>
      <c r="D41" s="163">
        <f>14038383450.1945/1000</f>
        <v>14038383.4501945</v>
      </c>
      <c r="E41" s="155" t="s">
        <v>131</v>
      </c>
      <c r="F41" s="269">
        <f>1557134884.87224/1000</f>
        <v>1557134.88487224</v>
      </c>
      <c r="G41" s="103">
        <v>1.8208082720625403</v>
      </c>
      <c r="H41" s="110" t="s">
        <v>131</v>
      </c>
      <c r="I41" s="277">
        <f t="shared" si="0"/>
        <v>16.415536612036824</v>
      </c>
    </row>
    <row r="42" spans="2:9" ht="15" customHeight="1" x14ac:dyDescent="0.25">
      <c r="B42" s="108" t="s">
        <v>23</v>
      </c>
      <c r="C42" s="105">
        <f>1205516528.54162/1000</f>
        <v>1205516.5285416201</v>
      </c>
      <c r="D42" s="158">
        <f>1779634707766.21/1000</f>
        <v>1779634707.7662101</v>
      </c>
      <c r="E42" s="159">
        <f>541303042433.947/1000</f>
        <v>541303042.43394697</v>
      </c>
      <c r="F42" s="270">
        <f>43085229810.7578/1000</f>
        <v>43085229.810757801</v>
      </c>
      <c r="G42" s="102">
        <v>6.7739549205284785E-2</v>
      </c>
      <c r="H42" s="111">
        <v>0.223</v>
      </c>
      <c r="I42" s="278">
        <f t="shared" si="0"/>
        <v>2.797980964327174</v>
      </c>
    </row>
    <row r="43" spans="2:9" ht="15" customHeight="1" x14ac:dyDescent="0.25">
      <c r="B43" s="327" t="s">
        <v>296</v>
      </c>
      <c r="C43" s="106">
        <f>171297944.515044/1000</f>
        <v>171297.94451504402</v>
      </c>
      <c r="D43" s="163">
        <f>203520610287.707/1000</f>
        <v>203520610.287707</v>
      </c>
      <c r="E43" s="164">
        <f>96884179464.8246/1000</f>
        <v>96884179.464824602</v>
      </c>
      <c r="F43" s="269">
        <f>15117332063.8413/1000</f>
        <v>15117332.063841298</v>
      </c>
      <c r="G43" s="103">
        <v>8.4167369718913768E-2</v>
      </c>
      <c r="H43" s="110">
        <v>0.17699999999999999</v>
      </c>
      <c r="I43" s="277">
        <f t="shared" si="0"/>
        <v>1.1331228538980533</v>
      </c>
    </row>
    <row r="44" spans="2:9" ht="15" customHeight="1" x14ac:dyDescent="0.25">
      <c r="B44" s="108" t="s">
        <v>147</v>
      </c>
      <c r="C44" s="105" t="s">
        <v>131</v>
      </c>
      <c r="D44" s="158">
        <f>12887072081.6363/1000</f>
        <v>12887072.081636298</v>
      </c>
      <c r="E44" s="159">
        <f>3799602143.7193/1000</f>
        <v>3799602.1437192997</v>
      </c>
      <c r="F44" s="270">
        <f>323490711.2059/1000</f>
        <v>323490.71120590001</v>
      </c>
      <c r="G44" s="102" t="s">
        <v>131</v>
      </c>
      <c r="H44" s="111" t="s">
        <v>131</v>
      </c>
      <c r="I44" s="278" t="s">
        <v>131</v>
      </c>
    </row>
    <row r="45" spans="2:9" ht="15" customHeight="1" x14ac:dyDescent="0.25">
      <c r="B45" s="107" t="s">
        <v>92</v>
      </c>
      <c r="C45" s="106" t="s">
        <v>131</v>
      </c>
      <c r="D45" s="163">
        <f>269869337788.189/1000</f>
        <v>269869337.78818899</v>
      </c>
      <c r="E45" s="164">
        <f>92327698158.0302/1000</f>
        <v>92327698.158030197</v>
      </c>
      <c r="F45" s="269">
        <f>30323047077.995/1000</f>
        <v>30323047.077994999</v>
      </c>
      <c r="G45" s="103" t="s">
        <v>131</v>
      </c>
      <c r="H45" s="110" t="s">
        <v>131</v>
      </c>
      <c r="I45" s="277" t="s">
        <v>131</v>
      </c>
    </row>
    <row r="46" spans="2:9" ht="15" customHeight="1" x14ac:dyDescent="0.25">
      <c r="B46" s="108" t="s">
        <v>24</v>
      </c>
      <c r="C46" s="105">
        <f>39221093635/1000</f>
        <v>39221093.634999998</v>
      </c>
      <c r="D46" s="158">
        <f>8227102629831.48/1000</f>
        <v>8227102629.83148</v>
      </c>
      <c r="E46" s="159">
        <f>2248376523481.44/1000</f>
        <v>2248376523.4814401</v>
      </c>
      <c r="F46" s="270">
        <f>253474944300/1000</f>
        <v>253474944.30000001</v>
      </c>
      <c r="G46" s="102">
        <v>0.47673033143872878</v>
      </c>
      <c r="H46" s="111">
        <v>1.744</v>
      </c>
      <c r="I46" s="278">
        <f t="shared" si="0"/>
        <v>15.473361181048299</v>
      </c>
    </row>
    <row r="47" spans="2:9" ht="15" customHeight="1" x14ac:dyDescent="0.25">
      <c r="B47" s="107" t="s">
        <v>25</v>
      </c>
      <c r="C47" s="106">
        <f>112435836.76584/1000</f>
        <v>112435.83676583999</v>
      </c>
      <c r="D47" s="163">
        <f>22766912960/1000</f>
        <v>22766912.960000001</v>
      </c>
      <c r="E47" s="155" t="s">
        <v>131</v>
      </c>
      <c r="F47" s="269">
        <f>1246948836.37439/1000</f>
        <v>1246948.8363743899</v>
      </c>
      <c r="G47" s="103">
        <v>0.49385631228696919</v>
      </c>
      <c r="H47" s="110" t="s">
        <v>131</v>
      </c>
      <c r="I47" s="277">
        <f t="shared" si="0"/>
        <v>9.0168765137755589</v>
      </c>
    </row>
    <row r="48" spans="2:9" ht="15" customHeight="1" x14ac:dyDescent="0.25">
      <c r="B48" s="108" t="s">
        <v>149</v>
      </c>
      <c r="C48" s="105">
        <f>4018674668.2006/1000</f>
        <v>4018674.6682006</v>
      </c>
      <c r="D48" s="158">
        <f>369606330701.98/1000</f>
        <v>369606330.70197999</v>
      </c>
      <c r="E48" s="159">
        <f>67513049864.5124/1000</f>
        <v>67513049.864512399</v>
      </c>
      <c r="F48" s="270">
        <f>15649280563.9888/1000</f>
        <v>15649280.563988799</v>
      </c>
      <c r="G48" s="102">
        <v>1.0872851286307987</v>
      </c>
      <c r="H48" s="111">
        <v>5.952</v>
      </c>
      <c r="I48" s="278">
        <f t="shared" si="0"/>
        <v>25.67961288551588</v>
      </c>
    </row>
    <row r="49" spans="2:9" ht="15" customHeight="1" x14ac:dyDescent="0.25">
      <c r="B49" s="107" t="s">
        <v>150</v>
      </c>
      <c r="C49" s="106" t="s">
        <v>131</v>
      </c>
      <c r="D49" s="163">
        <f>595900353.493894/1000</f>
        <v>595900.35349389398</v>
      </c>
      <c r="E49" s="155" t="s">
        <v>131</v>
      </c>
      <c r="F49" s="269">
        <f>16965442.3133/1000</f>
        <v>16965.442313299998</v>
      </c>
      <c r="G49" s="103" t="s">
        <v>131</v>
      </c>
      <c r="H49" s="110" t="s">
        <v>131</v>
      </c>
      <c r="I49" s="277" t="s">
        <v>131</v>
      </c>
    </row>
    <row r="50" spans="2:9" ht="15" customHeight="1" x14ac:dyDescent="0.25">
      <c r="B50" s="108" t="s">
        <v>151</v>
      </c>
      <c r="C50" s="105" t="s">
        <v>131</v>
      </c>
      <c r="D50" s="158">
        <f>13677928883.6386/1000</f>
        <v>13677928.8836386</v>
      </c>
      <c r="E50" s="160" t="s">
        <v>131</v>
      </c>
      <c r="F50" s="270">
        <f>2757934448.1291/1000</f>
        <v>2757934.4481290998</v>
      </c>
      <c r="G50" s="102" t="s">
        <v>131</v>
      </c>
      <c r="H50" s="111" t="s">
        <v>131</v>
      </c>
      <c r="I50" s="278" t="s">
        <v>131</v>
      </c>
    </row>
    <row r="51" spans="2:9" ht="15" customHeight="1" x14ac:dyDescent="0.25">
      <c r="B51" s="107" t="s">
        <v>152</v>
      </c>
      <c r="C51" s="106">
        <f>12199487.8049532/1000</f>
        <v>12199.4878049532</v>
      </c>
      <c r="D51" s="163">
        <f>17203980742.5707/1000</f>
        <v>17203980.742570702</v>
      </c>
      <c r="E51" s="164">
        <f>9545635044.6229/1000</f>
        <v>9545635.0446229</v>
      </c>
      <c r="F51" s="269">
        <f>2891607809.44983/1000</f>
        <v>2891607.8094498301</v>
      </c>
      <c r="G51" s="103">
        <v>7.09108431792531E-2</v>
      </c>
      <c r="H51" s="110">
        <v>0.128</v>
      </c>
      <c r="I51" s="277">
        <f t="shared" si="0"/>
        <v>0.42189289173604516</v>
      </c>
    </row>
    <row r="52" spans="2:9" ht="15" customHeight="1" x14ac:dyDescent="0.25">
      <c r="B52" s="108" t="s">
        <v>173</v>
      </c>
      <c r="C52" s="105">
        <f>8474000000/1000</f>
        <v>8474000</v>
      </c>
      <c r="D52" s="158">
        <f>1129598273324.48/1000</f>
        <v>1129598273.3244801</v>
      </c>
      <c r="E52" s="159">
        <f>638247332647.743/1000</f>
        <v>638247332.64774299</v>
      </c>
      <c r="F52" s="270">
        <f>4999000000/1000</f>
        <v>4999000</v>
      </c>
      <c r="G52" s="102">
        <v>0.75017820052614648</v>
      </c>
      <c r="H52" s="111">
        <v>1.3280000000000001</v>
      </c>
      <c r="I52" s="278">
        <f t="shared" si="0"/>
        <v>169.51390278055612</v>
      </c>
    </row>
    <row r="53" spans="2:9" ht="15" customHeight="1" x14ac:dyDescent="0.25">
      <c r="B53" s="107" t="s">
        <v>172</v>
      </c>
      <c r="C53" s="106" t="s">
        <v>131</v>
      </c>
      <c r="D53" s="155" t="s">
        <v>131</v>
      </c>
      <c r="E53" s="155" t="s">
        <v>131</v>
      </c>
      <c r="F53" s="269">
        <f>79000000/1000</f>
        <v>79000</v>
      </c>
      <c r="G53" s="103" t="s">
        <v>131</v>
      </c>
      <c r="H53" s="110" t="s">
        <v>131</v>
      </c>
      <c r="I53" s="277" t="s">
        <v>131</v>
      </c>
    </row>
    <row r="54" spans="2:9" ht="15" customHeight="1" x14ac:dyDescent="0.25">
      <c r="B54" s="326" t="s">
        <v>297</v>
      </c>
      <c r="C54" s="105" t="s">
        <v>131</v>
      </c>
      <c r="D54" s="158">
        <f>24680372724.4372/1000</f>
        <v>24680372.7244372</v>
      </c>
      <c r="E54" s="160" t="s">
        <v>131</v>
      </c>
      <c r="F54" s="270">
        <f>478400215.804/1000</f>
        <v>478400.21580400004</v>
      </c>
      <c r="G54" s="102" t="s">
        <v>131</v>
      </c>
      <c r="H54" s="111" t="s">
        <v>131</v>
      </c>
      <c r="I54" s="278" t="s">
        <v>131</v>
      </c>
    </row>
    <row r="55" spans="2:9" ht="15" customHeight="1" x14ac:dyDescent="0.25">
      <c r="B55" s="107" t="s">
        <v>93</v>
      </c>
      <c r="C55" s="106">
        <f>562342745.046091/1000</f>
        <v>562342.74504609092</v>
      </c>
      <c r="D55" s="163">
        <f>45103963693.4823/1000</f>
        <v>45103963.693482302</v>
      </c>
      <c r="E55" s="164">
        <f>16991068715.9502/1000</f>
        <v>16991068.715950198</v>
      </c>
      <c r="F55" s="269">
        <f>2636186737/1000</f>
        <v>2636186.7370000002</v>
      </c>
      <c r="G55" s="103">
        <v>1.2467701261637709</v>
      </c>
      <c r="H55" s="110">
        <v>3.31</v>
      </c>
      <c r="I55" s="277">
        <f t="shared" si="0"/>
        <v>21.331673403608768</v>
      </c>
    </row>
    <row r="56" spans="2:9" ht="15" customHeight="1" x14ac:dyDescent="0.25">
      <c r="B56" s="108" t="s">
        <v>26</v>
      </c>
      <c r="C56" s="105">
        <f>1436861414.44914/1000</f>
        <v>1436861.41444914</v>
      </c>
      <c r="D56" s="158">
        <f>59228247410.9818/1000</f>
        <v>59228247.410981797</v>
      </c>
      <c r="E56" s="159">
        <f>25691525602.6479/1000</f>
        <v>25691525.602647901</v>
      </c>
      <c r="F56" s="270">
        <f>1395251518.80968/1000</f>
        <v>1395251.5188096799</v>
      </c>
      <c r="G56" s="102">
        <v>2.4259732091662816</v>
      </c>
      <c r="H56" s="111">
        <v>5.593</v>
      </c>
      <c r="I56" s="278">
        <f t="shared" si="0"/>
        <v>102.98225051745212</v>
      </c>
    </row>
    <row r="57" spans="2:9" ht="15" customHeight="1" x14ac:dyDescent="0.25">
      <c r="B57" s="107" t="s">
        <v>94</v>
      </c>
      <c r="C57" s="106" t="s">
        <v>131</v>
      </c>
      <c r="D57" s="155" t="s">
        <v>131</v>
      </c>
      <c r="E57" s="155" t="s">
        <v>131</v>
      </c>
      <c r="F57" s="271" t="s">
        <v>131</v>
      </c>
      <c r="G57" s="103" t="s">
        <v>131</v>
      </c>
      <c r="H57" s="110" t="s">
        <v>131</v>
      </c>
      <c r="I57" s="277" t="s">
        <v>271</v>
      </c>
    </row>
    <row r="58" spans="2:9" ht="15" customHeight="1" x14ac:dyDescent="0.25">
      <c r="B58" s="108" t="s">
        <v>153</v>
      </c>
      <c r="C58" s="105">
        <f>30413407.821229/1000</f>
        <v>30413.407821229001</v>
      </c>
      <c r="D58" s="160" t="s">
        <v>131</v>
      </c>
      <c r="E58" s="160" t="s">
        <v>131</v>
      </c>
      <c r="F58" s="270">
        <f>56932960.8938547/1000</f>
        <v>56932.960893854703</v>
      </c>
      <c r="G58" s="102" t="s">
        <v>131</v>
      </c>
      <c r="H58" s="111" t="s">
        <v>131</v>
      </c>
      <c r="I58" s="278">
        <f t="shared" si="0"/>
        <v>53.419684034932736</v>
      </c>
    </row>
    <row r="59" spans="2:9" ht="15" customHeight="1" x14ac:dyDescent="0.25">
      <c r="B59" s="107" t="s">
        <v>27</v>
      </c>
      <c r="C59" s="106">
        <f>1257337643.04336/1000</f>
        <v>1257337.64304336</v>
      </c>
      <c r="D59" s="163">
        <f>315163055675.442/1000</f>
        <v>315163055.67544204</v>
      </c>
      <c r="E59" s="164">
        <f>172713681484.678/1000</f>
        <v>172713681.484678</v>
      </c>
      <c r="F59" s="269">
        <f>1269064596.97585/1000</f>
        <v>1269064.5969758502</v>
      </c>
      <c r="G59" s="103">
        <v>0.39894829688990485</v>
      </c>
      <c r="H59" s="110">
        <v>0.72799999999999998</v>
      </c>
      <c r="I59" s="277">
        <f t="shared" si="0"/>
        <v>99.075937193391468</v>
      </c>
    </row>
    <row r="60" spans="2:9" ht="15" customHeight="1" x14ac:dyDescent="0.25">
      <c r="B60" s="108" t="s">
        <v>95</v>
      </c>
      <c r="C60" s="105">
        <f>33265624.2087316/1000</f>
        <v>33265.624208731599</v>
      </c>
      <c r="D60" s="160" t="s">
        <v>131</v>
      </c>
      <c r="E60" s="160" t="s">
        <v>131</v>
      </c>
      <c r="F60" s="270">
        <f>109998255.692912/1000</f>
        <v>109998.255692912</v>
      </c>
      <c r="G60" s="102" t="s">
        <v>131</v>
      </c>
      <c r="H60" s="111" t="s">
        <v>131</v>
      </c>
      <c r="I60" s="278">
        <f t="shared" si="0"/>
        <v>30.241956110286889</v>
      </c>
    </row>
    <row r="61" spans="2:9" ht="15" customHeight="1" x14ac:dyDescent="0.25">
      <c r="B61" s="107" t="s">
        <v>96</v>
      </c>
      <c r="C61" s="106">
        <f>23190322.2222223/1000</f>
        <v>23190.322222222298</v>
      </c>
      <c r="D61" s="163">
        <f>479688888.888889/1000</f>
        <v>479688.88888888899</v>
      </c>
      <c r="E61" s="164">
        <f>14688066840.4351/1000</f>
        <v>14688066.840435101</v>
      </c>
      <c r="F61" s="269">
        <f>19647797.7777778/1000</f>
        <v>19647.7977777778</v>
      </c>
      <c r="G61" s="103">
        <v>4.834450569813785</v>
      </c>
      <c r="H61" s="110">
        <v>12.06</v>
      </c>
      <c r="I61" s="277">
        <f t="shared" si="0"/>
        <v>118.03013490118057</v>
      </c>
    </row>
    <row r="62" spans="2:9" ht="15" customHeight="1" x14ac:dyDescent="0.25">
      <c r="B62" s="326" t="s">
        <v>284</v>
      </c>
      <c r="C62" s="105">
        <f>19236400000/1000</f>
        <v>19236400</v>
      </c>
      <c r="D62" s="158">
        <f>262831912586.538/1000</f>
        <v>262831912.58653799</v>
      </c>
      <c r="E62" s="159">
        <f>45808657936.4417/1000</f>
        <v>45808657.936441705</v>
      </c>
      <c r="F62" s="270">
        <f>2797700000/1000</f>
        <v>2797700</v>
      </c>
      <c r="G62" s="102">
        <v>7.3188981546015262</v>
      </c>
      <c r="H62" s="111">
        <v>41.993000000000002</v>
      </c>
      <c r="I62" s="278">
        <f t="shared" si="0"/>
        <v>687.57908281802906</v>
      </c>
    </row>
    <row r="63" spans="2:9" ht="15" customHeight="1" x14ac:dyDescent="0.25">
      <c r="B63" s="107" t="s">
        <v>97</v>
      </c>
      <c r="C63" s="106">
        <f>3927280056.5/1000</f>
        <v>3927280.0564999999</v>
      </c>
      <c r="D63" s="163">
        <f>23864400000/1000</f>
        <v>23864400</v>
      </c>
      <c r="E63" s="164">
        <f>6766700000/1000</f>
        <v>6766700</v>
      </c>
      <c r="F63" s="269">
        <f>466787694.540999/1000</f>
        <v>466787.69454099901</v>
      </c>
      <c r="G63" s="103">
        <v>16.4566469573926</v>
      </c>
      <c r="H63" s="110">
        <v>58.037999999999997</v>
      </c>
      <c r="I63" s="277">
        <f t="shared" si="0"/>
        <v>841.34181394001132</v>
      </c>
    </row>
    <row r="64" spans="2:9" ht="15" customHeight="1" x14ac:dyDescent="0.25">
      <c r="B64" s="326" t="s">
        <v>298</v>
      </c>
      <c r="C64" s="105" t="s">
        <v>131</v>
      </c>
      <c r="D64" s="158">
        <f>383799194080.908/1000</f>
        <v>383799194.080908</v>
      </c>
      <c r="E64" s="159">
        <f>365192113903.383/1000</f>
        <v>365192113.90338302</v>
      </c>
      <c r="F64" s="270">
        <f>9602000000/1000</f>
        <v>9602000</v>
      </c>
      <c r="G64" s="102" t="s">
        <v>131</v>
      </c>
      <c r="H64" s="111" t="s">
        <v>131</v>
      </c>
      <c r="I64" s="278" t="s">
        <v>131</v>
      </c>
    </row>
    <row r="65" spans="2:9" ht="15" customHeight="1" x14ac:dyDescent="0.25">
      <c r="B65" s="107" t="s">
        <v>155</v>
      </c>
      <c r="C65" s="106">
        <f>2455773804.06343/1000</f>
        <v>2455773.8040634301</v>
      </c>
      <c r="D65" s="163">
        <f>84039856000/1000</f>
        <v>84039856</v>
      </c>
      <c r="E65" s="164">
        <f>26179136000/1000</f>
        <v>26179136</v>
      </c>
      <c r="F65" s="269">
        <f>591323300.856379/1000</f>
        <v>591323.30085637898</v>
      </c>
      <c r="G65" s="103">
        <v>2.9221537505531066</v>
      </c>
      <c r="H65" s="110">
        <v>9.3810000000000002</v>
      </c>
      <c r="I65" s="277">
        <f t="shared" si="0"/>
        <v>415.30137583059491</v>
      </c>
    </row>
    <row r="66" spans="2:9" ht="15" customHeight="1" x14ac:dyDescent="0.25">
      <c r="B66" s="108" t="s">
        <v>157</v>
      </c>
      <c r="C66" s="105" t="s">
        <v>131</v>
      </c>
      <c r="D66" s="158">
        <f>3091837398.37398/1000</f>
        <v>3091837.3983739801</v>
      </c>
      <c r="E66" s="160" t="s">
        <v>131</v>
      </c>
      <c r="F66" s="270">
        <f>73666666.6667/1000</f>
        <v>73666.66666670001</v>
      </c>
      <c r="G66" s="102" t="s">
        <v>131</v>
      </c>
      <c r="H66" s="111" t="s">
        <v>131</v>
      </c>
      <c r="I66" s="278" t="s">
        <v>131</v>
      </c>
    </row>
    <row r="67" spans="2:9" ht="15" customHeight="1" x14ac:dyDescent="0.25">
      <c r="B67" s="107" t="s">
        <v>28</v>
      </c>
      <c r="C67" s="106">
        <f>1927879305.78012/1000</f>
        <v>1927879.30578012</v>
      </c>
      <c r="D67" s="163">
        <f>91347809328.0226/1000</f>
        <v>91347809.328022599</v>
      </c>
      <c r="E67" s="155" t="s">
        <v>131</v>
      </c>
      <c r="F67" s="269">
        <f>1527246239.88981/1000</f>
        <v>1527246.2398898101</v>
      </c>
      <c r="G67" s="103">
        <v>2.1104822545412785</v>
      </c>
      <c r="H67" s="110" t="s">
        <v>131</v>
      </c>
      <c r="I67" s="277">
        <f t="shared" si="0"/>
        <v>126.23238187963817</v>
      </c>
    </row>
    <row r="68" spans="2:9" ht="15" customHeight="1" x14ac:dyDescent="0.25">
      <c r="B68" s="108" t="s">
        <v>29</v>
      </c>
      <c r="C68" s="105">
        <f>644101890.946851/1000</f>
        <v>644101.890946851</v>
      </c>
      <c r="D68" s="158">
        <f>45378388796.4421/1000</f>
        <v>45378388.796442099</v>
      </c>
      <c r="E68" s="160" t="s">
        <v>131</v>
      </c>
      <c r="F68" s="270">
        <f>-227373077.322063/1000</f>
        <v>-227373.07732206301</v>
      </c>
      <c r="G68" s="102">
        <v>1.4194022926555552</v>
      </c>
      <c r="H68" s="111" t="s">
        <v>131</v>
      </c>
      <c r="I68" s="278">
        <f t="shared" si="0"/>
        <v>-283.27975261315203</v>
      </c>
    </row>
    <row r="69" spans="2:9" ht="15" customHeight="1" x14ac:dyDescent="0.25">
      <c r="B69" s="107" t="s">
        <v>30</v>
      </c>
      <c r="C69" s="106">
        <f>9633131332.66968/1000</f>
        <v>9633131.3326696791</v>
      </c>
      <c r="D69" s="163">
        <f>1322114865733.01/1000</f>
        <v>1322114865.7330101</v>
      </c>
      <c r="E69" s="164">
        <f>431719131440.319/1000</f>
        <v>431719131.44031894</v>
      </c>
      <c r="F69" s="269">
        <f>36161252562.9158/1000</f>
        <v>36161252.562915802</v>
      </c>
      <c r="G69" s="103">
        <v>0.72861531038975746</v>
      </c>
      <c r="H69" s="110">
        <v>2.2309999999999999</v>
      </c>
      <c r="I69" s="277">
        <f t="shared" si="0"/>
        <v>26.639374053510185</v>
      </c>
    </row>
    <row r="70" spans="2:9" ht="15" customHeight="1" x14ac:dyDescent="0.25">
      <c r="B70" s="326" t="s">
        <v>31</v>
      </c>
      <c r="C70" s="105">
        <f>6285000000/1000</f>
        <v>6285000</v>
      </c>
      <c r="D70" s="158">
        <f>16244600000000/1000</f>
        <v>16244600000</v>
      </c>
      <c r="E70" s="159">
        <f>2195900000000/1000</f>
        <v>2195900000</v>
      </c>
      <c r="F70" s="270">
        <f>203790000000/1000</f>
        <v>203790000</v>
      </c>
      <c r="G70" s="102">
        <v>3.8689779988426924E-2</v>
      </c>
      <c r="H70" s="111">
        <v>0.28599999999999998</v>
      </c>
      <c r="I70" s="278">
        <f t="shared" si="0"/>
        <v>3.0840571176210805</v>
      </c>
    </row>
    <row r="71" spans="2:9" ht="15" customHeight="1" x14ac:dyDescent="0.25">
      <c r="B71" s="107" t="s">
        <v>32</v>
      </c>
      <c r="C71" s="106">
        <f>401171876.690806/1000</f>
        <v>401171.87669080595</v>
      </c>
      <c r="D71" s="163">
        <f>22375858539.1237/1000</f>
        <v>22375858.539123699</v>
      </c>
      <c r="E71" s="164">
        <f>20264231721.7011/1000</f>
        <v>20264231.7217011</v>
      </c>
      <c r="F71" s="269">
        <f>1648454625.63214/1000</f>
        <v>1648454.6256321399</v>
      </c>
      <c r="G71" s="103">
        <v>1.7928781413654595</v>
      </c>
      <c r="H71" s="110">
        <v>1.98</v>
      </c>
      <c r="I71" s="277">
        <f t="shared" ref="I71:I133" si="1">(C71/F71)*100</f>
        <v>24.336240164145671</v>
      </c>
    </row>
    <row r="72" spans="2:9" ht="15" customHeight="1" x14ac:dyDescent="0.25">
      <c r="B72" s="108" t="s">
        <v>158</v>
      </c>
      <c r="C72" s="105">
        <f>624360669.898232/1000</f>
        <v>624360.66989823198</v>
      </c>
      <c r="D72" s="158">
        <f>41717843026.4888/1000</f>
        <v>41717843.026488803</v>
      </c>
      <c r="E72" s="159">
        <f>5811261603.68893/1000</f>
        <v>5811261.6036889292</v>
      </c>
      <c r="F72" s="270">
        <f>278562822.162861/1000</f>
        <v>278562.822162861</v>
      </c>
      <c r="G72" s="102">
        <v>1.4966274011381511</v>
      </c>
      <c r="H72" s="111">
        <v>10.744</v>
      </c>
      <c r="I72" s="278">
        <f t="shared" si="1"/>
        <v>224.13639589463995</v>
      </c>
    </row>
    <row r="73" spans="2:9" ht="15" customHeight="1" x14ac:dyDescent="0.25">
      <c r="B73" s="107" t="s">
        <v>98</v>
      </c>
      <c r="C73" s="106">
        <f>190607763.766032/1000</f>
        <v>190607.763766032</v>
      </c>
      <c r="D73" s="163">
        <f>3907563304.51103/1000</f>
        <v>3907563.3045110302</v>
      </c>
      <c r="E73" s="164">
        <f>2434605285.21146/1000</f>
        <v>2434605.2852114602</v>
      </c>
      <c r="F73" s="269">
        <f>267146322.994733/1000</f>
        <v>267146.322994733</v>
      </c>
      <c r="G73" s="103">
        <v>4.8779187670737851</v>
      </c>
      <c r="H73" s="110">
        <v>7.8289999999999997</v>
      </c>
      <c r="I73" s="277">
        <f t="shared" si="1"/>
        <v>71.349574131997315</v>
      </c>
    </row>
    <row r="74" spans="2:9" ht="15" customHeight="1" x14ac:dyDescent="0.25">
      <c r="B74" s="108" t="s">
        <v>200</v>
      </c>
      <c r="C74" s="105">
        <f>24641000000/1000</f>
        <v>24641000</v>
      </c>
      <c r="D74" s="158">
        <f>250182019476.324/1000</f>
        <v>250182019.47632399</v>
      </c>
      <c r="E74" s="159">
        <f>77067305105.169/1000</f>
        <v>77067305.105169013</v>
      </c>
      <c r="F74" s="273">
        <f>2797000000/1000</f>
        <v>2797000</v>
      </c>
      <c r="G74" s="102">
        <v>9.8492289939852693</v>
      </c>
      <c r="H74" s="111">
        <v>31.972999999999999</v>
      </c>
      <c r="I74" s="278">
        <f t="shared" si="1"/>
        <v>880.97962102252416</v>
      </c>
    </row>
    <row r="75" spans="2:9" ht="15" customHeight="1" x14ac:dyDescent="0.25">
      <c r="B75" s="107" t="s">
        <v>33</v>
      </c>
      <c r="C75" s="106">
        <f>866284167.971452/1000</f>
        <v>866284.167971452</v>
      </c>
      <c r="D75" s="163">
        <f>247386611846.332/1000</f>
        <v>247386611.84633201</v>
      </c>
      <c r="E75" s="164">
        <f>100370037260.696/1000</f>
        <v>100370037.26069599</v>
      </c>
      <c r="F75" s="269">
        <f>4332194197.96943/1000</f>
        <v>4332194.1979694301</v>
      </c>
      <c r="G75" s="103">
        <v>0.35017423194653663</v>
      </c>
      <c r="H75" s="110">
        <v>0.86299999999999999</v>
      </c>
      <c r="I75" s="277">
        <f t="shared" si="1"/>
        <v>19.996429716320048</v>
      </c>
    </row>
    <row r="76" spans="2:9" ht="15" customHeight="1" x14ac:dyDescent="0.25">
      <c r="B76" s="108" t="s">
        <v>34</v>
      </c>
      <c r="C76" s="105">
        <f>21675866214.0457/1000</f>
        <v>21675866.2140457</v>
      </c>
      <c r="D76" s="158">
        <f>2611199845817.81/1000</f>
        <v>2611199845.8178101</v>
      </c>
      <c r="E76" s="159">
        <f>716399845817.808/1000</f>
        <v>716399845.81780803</v>
      </c>
      <c r="F76" s="270">
        <f>28121826113.7947/1000</f>
        <v>28121826.113794699</v>
      </c>
      <c r="G76" s="102">
        <v>0.83011134704080758</v>
      </c>
      <c r="H76" s="111">
        <v>3.0259999999999998</v>
      </c>
      <c r="I76" s="278">
        <f t="shared" si="1"/>
        <v>77.078444786389454</v>
      </c>
    </row>
    <row r="77" spans="2:9" ht="15" customHeight="1" x14ac:dyDescent="0.25">
      <c r="B77" s="107" t="s">
        <v>160</v>
      </c>
      <c r="C77" s="106" t="s">
        <v>131</v>
      </c>
      <c r="D77" s="163">
        <f>18377083881.0055/1000</f>
        <v>18377083.8810055</v>
      </c>
      <c r="E77" s="164">
        <f>10453031955.6557/1000</f>
        <v>10453031.955655701</v>
      </c>
      <c r="F77" s="269">
        <f>702406408.2956/1000</f>
        <v>702406.40829560009</v>
      </c>
      <c r="G77" s="103" t="s">
        <v>131</v>
      </c>
      <c r="H77" s="110" t="s">
        <v>131</v>
      </c>
      <c r="I77" s="277" t="s">
        <v>131</v>
      </c>
    </row>
    <row r="78" spans="2:9" ht="15" customHeight="1" x14ac:dyDescent="0.25">
      <c r="B78" s="108" t="s">
        <v>161</v>
      </c>
      <c r="C78" s="105">
        <f>140991051.908785/1000</f>
        <v>140991.05190878498</v>
      </c>
      <c r="D78" s="158">
        <f>907430835.283071/1000</f>
        <v>907430.83528307104</v>
      </c>
      <c r="E78" s="159">
        <f>259209542.531579/1000</f>
        <v>259209.54253157898</v>
      </c>
      <c r="F78" s="270">
        <f>33524673.5172738/1000</f>
        <v>33524.673517273797</v>
      </c>
      <c r="G78" s="102">
        <v>15.537388242356027</v>
      </c>
      <c r="H78" s="111">
        <v>54.393000000000001</v>
      </c>
      <c r="I78" s="278">
        <f t="shared" si="1"/>
        <v>420.55906028775627</v>
      </c>
    </row>
    <row r="79" spans="2:9" ht="15" customHeight="1" x14ac:dyDescent="0.25">
      <c r="B79" s="107" t="s">
        <v>162</v>
      </c>
      <c r="C79" s="106">
        <f>137952000/1000</f>
        <v>137952</v>
      </c>
      <c r="D79" s="163">
        <f>40710781538.5757/1000</f>
        <v>40710781.538575701</v>
      </c>
      <c r="E79" s="164">
        <f>18666549109.5045/1000</f>
        <v>18666549.109504502</v>
      </c>
      <c r="F79" s="269">
        <f>3294520000/1000</f>
        <v>3294520</v>
      </c>
      <c r="G79" s="103">
        <v>0.33885863839111746</v>
      </c>
      <c r="H79" s="110">
        <v>0.73899999999999999</v>
      </c>
      <c r="I79" s="277">
        <f t="shared" si="1"/>
        <v>4.1873171205517039</v>
      </c>
    </row>
    <row r="80" spans="2:9" ht="15" customHeight="1" x14ac:dyDescent="0.25">
      <c r="B80" s="326" t="s">
        <v>299</v>
      </c>
      <c r="C80" s="105">
        <f>1770115175.34362/1000</f>
        <v>1770115.1753436201</v>
      </c>
      <c r="D80" s="158">
        <f>15747288816.1881/1000</f>
        <v>15747288.816188101</v>
      </c>
      <c r="E80" s="159">
        <f>6053426786.06085/1000</f>
        <v>6053426.7860608501</v>
      </c>
      <c r="F80" s="270">
        <f>831254884.45/1000</f>
        <v>831254.88445000001</v>
      </c>
      <c r="G80" s="102">
        <v>11.240761479677417</v>
      </c>
      <c r="H80" s="111">
        <v>29.242000000000001</v>
      </c>
      <c r="I80" s="278">
        <f t="shared" si="1"/>
        <v>212.94493523665935</v>
      </c>
    </row>
    <row r="81" spans="2:9" ht="15" customHeight="1" x14ac:dyDescent="0.25">
      <c r="B81" s="107" t="s">
        <v>164</v>
      </c>
      <c r="C81" s="106">
        <f>29354096.2962963/1000</f>
        <v>29354.096296296299</v>
      </c>
      <c r="D81" s="163">
        <f>766510727.203673/1000</f>
        <v>766510.72720367298</v>
      </c>
      <c r="E81" s="164">
        <f>193492589.17539/1000</f>
        <v>193492.58917538999</v>
      </c>
      <c r="F81" s="269">
        <f>30231435.5555556/1000</f>
        <v>30231.435555555599</v>
      </c>
      <c r="G81" s="103">
        <v>3.8295741017720277</v>
      </c>
      <c r="H81" s="110">
        <v>15.170999999999999</v>
      </c>
      <c r="I81" s="277">
        <f t="shared" si="1"/>
        <v>97.097923922114006</v>
      </c>
    </row>
    <row r="82" spans="2:9" ht="15" customHeight="1" x14ac:dyDescent="0.25">
      <c r="B82" s="108" t="s">
        <v>35</v>
      </c>
      <c r="C82" s="105">
        <f>681226748.127222/1000</f>
        <v>681226.74812722194</v>
      </c>
      <c r="D82" s="158">
        <f>248938656855.968/1000</f>
        <v>248938656.855968</v>
      </c>
      <c r="E82" s="159">
        <f>67209634640.884/1000</f>
        <v>67209634.640883997</v>
      </c>
      <c r="F82" s="270">
        <f>1663327172.79259/1000</f>
        <v>1663327.17279259</v>
      </c>
      <c r="G82" s="102">
        <v>0.27365245588248222</v>
      </c>
      <c r="H82" s="111">
        <v>1.014</v>
      </c>
      <c r="I82" s="278">
        <f t="shared" si="1"/>
        <v>40.955667608285268</v>
      </c>
    </row>
    <row r="83" spans="2:9" ht="15" customHeight="1" x14ac:dyDescent="0.25">
      <c r="B83" s="107" t="s">
        <v>163</v>
      </c>
      <c r="C83" s="106" t="s">
        <v>131</v>
      </c>
      <c r="D83" s="155" t="s">
        <v>131</v>
      </c>
      <c r="E83" s="155" t="s">
        <v>131</v>
      </c>
      <c r="F83" s="271" t="s">
        <v>131</v>
      </c>
      <c r="G83" s="103" t="s">
        <v>131</v>
      </c>
      <c r="H83" s="110" t="s">
        <v>131</v>
      </c>
      <c r="I83" s="277" t="s">
        <v>131</v>
      </c>
    </row>
    <row r="84" spans="2:9" ht="15" customHeight="1" x14ac:dyDescent="0.25">
      <c r="B84" s="108" t="s">
        <v>99</v>
      </c>
      <c r="C84" s="105" t="s">
        <v>131</v>
      </c>
      <c r="D84" s="160" t="s">
        <v>131</v>
      </c>
      <c r="E84" s="160" t="s">
        <v>131</v>
      </c>
      <c r="F84" s="274" t="s">
        <v>131</v>
      </c>
      <c r="G84" s="102" t="s">
        <v>131</v>
      </c>
      <c r="H84" s="111" t="s">
        <v>131</v>
      </c>
      <c r="I84" s="278" t="s">
        <v>131</v>
      </c>
    </row>
    <row r="85" spans="2:9" ht="15" customHeight="1" x14ac:dyDescent="0.25">
      <c r="B85" s="107" t="s">
        <v>100</v>
      </c>
      <c r="C85" s="106">
        <f>5034519000/1000</f>
        <v>5034519</v>
      </c>
      <c r="D85" s="163">
        <f>50233749190.986/1000</f>
        <v>50233749.190986</v>
      </c>
      <c r="E85" s="164">
        <f>12531846747.5404/1000</f>
        <v>12531846.747540399</v>
      </c>
      <c r="F85" s="269">
        <f>1150030000/1000</f>
        <v>1150030</v>
      </c>
      <c r="G85" s="103">
        <v>10.022184449858656</v>
      </c>
      <c r="H85" s="110">
        <v>40.173999999999999</v>
      </c>
      <c r="I85" s="277">
        <f t="shared" si="1"/>
        <v>437.77284070850328</v>
      </c>
    </row>
    <row r="86" spans="2:9" ht="15" customHeight="1" x14ac:dyDescent="0.25">
      <c r="B86" s="108" t="s">
        <v>166</v>
      </c>
      <c r="C86" s="105">
        <f>469258405.522633/1000</f>
        <v>469258.40552263299</v>
      </c>
      <c r="D86" s="158">
        <f>2850572407.04501/1000</f>
        <v>2850572.40704501</v>
      </c>
      <c r="E86" s="160" t="s">
        <v>131</v>
      </c>
      <c r="F86" s="270">
        <f>276124000/1000</f>
        <v>276124</v>
      </c>
      <c r="G86" s="102">
        <v>16.461900927788768</v>
      </c>
      <c r="H86" s="111" t="s">
        <v>131</v>
      </c>
      <c r="I86" s="278">
        <f t="shared" si="1"/>
        <v>169.944809405424</v>
      </c>
    </row>
    <row r="87" spans="2:9" ht="15" customHeight="1" x14ac:dyDescent="0.25">
      <c r="B87" s="107" t="s">
        <v>165</v>
      </c>
      <c r="C87" s="106">
        <f>66300000/1000</f>
        <v>66300</v>
      </c>
      <c r="D87" s="163">
        <f>5631621297.8898/1000</f>
        <v>5631621.2978897998</v>
      </c>
      <c r="E87" s="164">
        <f>1673549032.58952/1000</f>
        <v>1673549.0325895199</v>
      </c>
      <c r="F87" s="269">
        <f>605400000/1000</f>
        <v>605400</v>
      </c>
      <c r="G87" s="103">
        <v>1.1772808662550336</v>
      </c>
      <c r="H87" s="110">
        <v>3.9620000000000002</v>
      </c>
      <c r="I87" s="277">
        <f t="shared" si="1"/>
        <v>10.951437066402377</v>
      </c>
    </row>
    <row r="88" spans="2:9" ht="15" customHeight="1" x14ac:dyDescent="0.25">
      <c r="B88" s="108" t="s">
        <v>156</v>
      </c>
      <c r="C88" s="105" t="s">
        <v>131</v>
      </c>
      <c r="D88" s="158">
        <f>17697394251.2135/1000</f>
        <v>17697394.251213502</v>
      </c>
      <c r="E88" s="159">
        <f>14932118352.1758/1000</f>
        <v>14932118.3521758</v>
      </c>
      <c r="F88" s="270">
        <f>2115073208.439/1000</f>
        <v>2115073.208439</v>
      </c>
      <c r="G88" s="102" t="s">
        <v>131</v>
      </c>
      <c r="H88" s="111" t="s">
        <v>131</v>
      </c>
      <c r="I88" s="278" t="s">
        <v>131</v>
      </c>
    </row>
    <row r="89" spans="2:9" ht="15" customHeight="1" x14ac:dyDescent="0.25">
      <c r="B89" s="107" t="s">
        <v>36</v>
      </c>
      <c r="C89" s="106" t="s">
        <v>131</v>
      </c>
      <c r="D89" s="163">
        <f>822321032.405318/1000</f>
        <v>822321.03240531799</v>
      </c>
      <c r="E89" s="164">
        <f>142430906.933674/1000</f>
        <v>142430.90693367401</v>
      </c>
      <c r="F89" s="269">
        <f>16226635.9149/1000</f>
        <v>16226.6359149</v>
      </c>
      <c r="G89" s="103" t="s">
        <v>131</v>
      </c>
      <c r="H89" s="110" t="s">
        <v>131</v>
      </c>
      <c r="I89" s="277" t="s">
        <v>131</v>
      </c>
    </row>
    <row r="90" spans="2:9" ht="15" customHeight="1" x14ac:dyDescent="0.25">
      <c r="B90" s="108" t="s">
        <v>101</v>
      </c>
      <c r="C90" s="105">
        <f>1612330000/1000</f>
        <v>1612330</v>
      </c>
      <c r="D90" s="158">
        <f>7843484458.14557/1000</f>
        <v>7843484.45814557</v>
      </c>
      <c r="E90" s="159">
        <f>1037337005.76437/1000</f>
        <v>1037337.00576437</v>
      </c>
      <c r="F90" s="270">
        <f>178750000/1000</f>
        <v>178750</v>
      </c>
      <c r="G90" s="102">
        <v>20.55629750532076</v>
      </c>
      <c r="H90" s="111">
        <v>155.43</v>
      </c>
      <c r="I90" s="278">
        <f t="shared" si="1"/>
        <v>902.00279720279718</v>
      </c>
    </row>
    <row r="91" spans="2:9" ht="15" customHeight="1" x14ac:dyDescent="0.25">
      <c r="B91" s="107" t="s">
        <v>37</v>
      </c>
      <c r="C91" s="106">
        <f>1616774812.95885/1000</f>
        <v>1616774.8129588498</v>
      </c>
      <c r="D91" s="163">
        <f>770060388025.183/1000</f>
        <v>770060388.02518296</v>
      </c>
      <c r="E91" s="164">
        <f>677865861492.998/1000</f>
        <v>677865861.492998</v>
      </c>
      <c r="F91" s="269">
        <f>6684355656.50666/1000</f>
        <v>6684355.6565066604</v>
      </c>
      <c r="G91" s="103">
        <v>0.20995428905323421</v>
      </c>
      <c r="H91" s="110">
        <v>0.23899999999999999</v>
      </c>
      <c r="I91" s="277">
        <f t="shared" si="1"/>
        <v>24.187444475445513</v>
      </c>
    </row>
    <row r="92" spans="2:9" ht="15" customHeight="1" x14ac:dyDescent="0.25">
      <c r="B92" s="108" t="s">
        <v>102</v>
      </c>
      <c r="C92" s="105">
        <f>2909370614.29268/1000</f>
        <v>2909370.6142926798</v>
      </c>
      <c r="D92" s="158">
        <f>18434022403.2587/1000</f>
        <v>18434022.4032587</v>
      </c>
      <c r="E92" s="159">
        <f>9289241344.19552/1000</f>
        <v>9289241.3441955205</v>
      </c>
      <c r="F92" s="270">
        <f>1067550208.43822/1000</f>
        <v>1067550.20843822</v>
      </c>
      <c r="G92" s="102">
        <v>15.782614074388771</v>
      </c>
      <c r="H92" s="111">
        <v>31.32</v>
      </c>
      <c r="I92" s="278">
        <f t="shared" si="1"/>
        <v>272.52775478812976</v>
      </c>
    </row>
    <row r="93" spans="2:9" ht="15" customHeight="1" x14ac:dyDescent="0.25">
      <c r="B93" s="107" t="s">
        <v>103</v>
      </c>
      <c r="C93" s="106">
        <f>368361625.829221/1000</f>
        <v>368361.62582922098</v>
      </c>
      <c r="D93" s="163">
        <f>263259372904.956/1000</f>
        <v>263259372.90495598</v>
      </c>
      <c r="E93" s="164">
        <f>591721417152.287/1000</f>
        <v>591721417.15228701</v>
      </c>
      <c r="F93" s="269">
        <f>74583716338.0144/1000</f>
        <v>74583716.338014409</v>
      </c>
      <c r="G93" s="103">
        <v>0.13992346094443142</v>
      </c>
      <c r="H93" s="110">
        <v>6.2E-2</v>
      </c>
      <c r="I93" s="277">
        <f t="shared" si="1"/>
        <v>0.49389014642257983</v>
      </c>
    </row>
    <row r="94" spans="2:9" ht="15" customHeight="1" x14ac:dyDescent="0.25">
      <c r="B94" s="108" t="s">
        <v>38</v>
      </c>
      <c r="C94" s="105">
        <f>2143698473.70983/1000</f>
        <v>2143698.4737098301</v>
      </c>
      <c r="D94" s="158">
        <f>124600486886.062/1000</f>
        <v>124600486.886062</v>
      </c>
      <c r="E94" s="160" t="s">
        <v>131</v>
      </c>
      <c r="F94" s="270">
        <f>9355700642.93759/1000</f>
        <v>9355700.6429375894</v>
      </c>
      <c r="G94" s="102">
        <v>1.7204575417671464</v>
      </c>
      <c r="H94" s="111" t="s">
        <v>131</v>
      </c>
      <c r="I94" s="278">
        <f t="shared" si="1"/>
        <v>22.913286300241559</v>
      </c>
    </row>
    <row r="95" spans="2:9" ht="15" customHeight="1" x14ac:dyDescent="0.25">
      <c r="B95" s="107" t="s">
        <v>223</v>
      </c>
      <c r="C95" s="106" t="s">
        <v>131</v>
      </c>
      <c r="D95" s="163">
        <f>35737147702.4425/1000</f>
        <v>35737147.702442497</v>
      </c>
      <c r="E95" s="155" t="s">
        <v>131</v>
      </c>
      <c r="F95" s="269">
        <f>348809242.0908/1000</f>
        <v>348809.24209079996</v>
      </c>
      <c r="G95" s="103" t="s">
        <v>131</v>
      </c>
      <c r="H95" s="110" t="s">
        <v>131</v>
      </c>
      <c r="I95" s="277" t="s">
        <v>131</v>
      </c>
    </row>
    <row r="96" spans="2:9" ht="15" customHeight="1" x14ac:dyDescent="0.25">
      <c r="B96" s="108" t="s">
        <v>169</v>
      </c>
      <c r="C96" s="105" t="s">
        <v>131</v>
      </c>
      <c r="D96" s="160" t="s">
        <v>131</v>
      </c>
      <c r="E96" s="160" t="s">
        <v>131</v>
      </c>
      <c r="F96" s="272" t="s">
        <v>131</v>
      </c>
      <c r="G96" s="102" t="s">
        <v>131</v>
      </c>
      <c r="H96" s="111" t="s">
        <v>131</v>
      </c>
      <c r="I96" s="278" t="s">
        <v>131</v>
      </c>
    </row>
    <row r="97" spans="1:45" ht="15" customHeight="1" x14ac:dyDescent="0.25">
      <c r="B97" s="107" t="s">
        <v>145</v>
      </c>
      <c r="C97" s="106" t="s">
        <v>131</v>
      </c>
      <c r="D97" s="155" t="s">
        <v>131</v>
      </c>
      <c r="E97" s="155" t="s">
        <v>131</v>
      </c>
      <c r="F97" s="269">
        <f>4234451029.6049/1000</f>
        <v>4234451.0296048997</v>
      </c>
      <c r="G97" s="103" t="s">
        <v>131</v>
      </c>
      <c r="H97" s="110" t="s">
        <v>131</v>
      </c>
      <c r="I97" s="277" t="s">
        <v>131</v>
      </c>
    </row>
    <row r="98" spans="1:45" ht="15" customHeight="1" x14ac:dyDescent="0.25">
      <c r="B98" s="108" t="s">
        <v>148</v>
      </c>
      <c r="C98" s="105" t="s">
        <v>131</v>
      </c>
      <c r="D98" s="160" t="s">
        <v>131</v>
      </c>
      <c r="E98" s="160" t="s">
        <v>131</v>
      </c>
      <c r="F98" s="272" t="s">
        <v>131</v>
      </c>
      <c r="G98" s="102" t="s">
        <v>131</v>
      </c>
      <c r="H98" s="111" t="s">
        <v>131</v>
      </c>
      <c r="I98" s="278" t="s">
        <v>131</v>
      </c>
    </row>
    <row r="99" spans="1:45" ht="15" customHeight="1" x14ac:dyDescent="0.25">
      <c r="B99" s="327" t="s">
        <v>300</v>
      </c>
      <c r="C99" s="106" t="s">
        <v>131</v>
      </c>
      <c r="D99" s="155" t="s">
        <v>131</v>
      </c>
      <c r="E99" s="155" t="s">
        <v>131</v>
      </c>
      <c r="F99" s="271" t="s">
        <v>131</v>
      </c>
      <c r="G99" s="103" t="s">
        <v>131</v>
      </c>
      <c r="H99" s="110" t="s">
        <v>131</v>
      </c>
      <c r="I99" s="277" t="s">
        <v>131</v>
      </c>
    </row>
    <row r="100" spans="1:45" ht="15" customHeight="1" x14ac:dyDescent="0.25">
      <c r="B100" s="108" t="s">
        <v>194</v>
      </c>
      <c r="C100" s="105" t="s">
        <v>131</v>
      </c>
      <c r="D100" s="160" t="s">
        <v>131</v>
      </c>
      <c r="E100" s="160" t="s">
        <v>131</v>
      </c>
      <c r="F100" s="270">
        <f>4561666.6667/1000</f>
        <v>4561.6666667</v>
      </c>
      <c r="G100" s="102" t="s">
        <v>131</v>
      </c>
      <c r="H100" s="111" t="s">
        <v>131</v>
      </c>
      <c r="I100" s="278" t="s">
        <v>131</v>
      </c>
    </row>
    <row r="101" spans="1:45" ht="15" customHeight="1" x14ac:dyDescent="0.25">
      <c r="B101" s="107" t="s">
        <v>184</v>
      </c>
      <c r="C101" s="106" t="s">
        <v>131</v>
      </c>
      <c r="D101" s="163">
        <f>182400000/1000</f>
        <v>182400</v>
      </c>
      <c r="E101" s="155" t="s">
        <v>131</v>
      </c>
      <c r="F101" s="275">
        <f>38377000/1000</f>
        <v>38377</v>
      </c>
      <c r="G101" s="103" t="s">
        <v>131</v>
      </c>
      <c r="H101" s="110" t="s">
        <v>131</v>
      </c>
      <c r="I101" s="277" t="s">
        <v>131</v>
      </c>
    </row>
    <row r="102" spans="1:45" ht="15" customHeight="1" x14ac:dyDescent="0.25">
      <c r="B102" s="108" t="s">
        <v>207</v>
      </c>
      <c r="C102" s="105">
        <f>17172183.0352541/1000</f>
        <v>17172.1830352541</v>
      </c>
      <c r="D102" s="158">
        <f>1008424232.18251/1000</f>
        <v>1008424.23218251</v>
      </c>
      <c r="E102" s="159">
        <f>262999999.999999/1000</f>
        <v>262999.99999999901</v>
      </c>
      <c r="F102" s="270">
        <f>68257106.560292/1000</f>
        <v>68257.106560291999</v>
      </c>
      <c r="G102" s="102">
        <v>1.7028729067813746</v>
      </c>
      <c r="H102" s="111">
        <v>6.5289999999999999</v>
      </c>
      <c r="I102" s="278">
        <f t="shared" si="1"/>
        <v>25.158088147328346</v>
      </c>
    </row>
    <row r="103" spans="1:45" ht="15" customHeight="1" x14ac:dyDescent="0.25">
      <c r="B103" s="156" t="s">
        <v>240</v>
      </c>
      <c r="C103" s="106" t="s">
        <v>131</v>
      </c>
      <c r="D103" s="155" t="s">
        <v>131</v>
      </c>
      <c r="E103" s="155" t="s">
        <v>131</v>
      </c>
      <c r="F103" s="271" t="s">
        <v>131</v>
      </c>
      <c r="G103" s="103" t="s">
        <v>131</v>
      </c>
      <c r="H103" s="110" t="s">
        <v>131</v>
      </c>
      <c r="I103" s="277" t="s">
        <v>131</v>
      </c>
    </row>
    <row r="104" spans="1:45" ht="15" customHeight="1" x14ac:dyDescent="0.25">
      <c r="B104" s="108" t="s">
        <v>222</v>
      </c>
      <c r="C104" s="105" t="s">
        <v>131</v>
      </c>
      <c r="D104" s="160" t="s">
        <v>131</v>
      </c>
      <c r="E104" s="160" t="s">
        <v>131</v>
      </c>
      <c r="F104" s="272" t="s">
        <v>131</v>
      </c>
      <c r="G104" s="102" t="s">
        <v>131</v>
      </c>
      <c r="H104" s="111" t="s">
        <v>131</v>
      </c>
      <c r="I104" s="278" t="s">
        <v>131</v>
      </c>
    </row>
    <row r="105" spans="1:45" ht="15" customHeight="1" x14ac:dyDescent="0.25">
      <c r="B105" s="107" t="s">
        <v>39</v>
      </c>
      <c r="C105" s="106">
        <f>68820517837.6536/1000</f>
        <v>68820517.837653592</v>
      </c>
      <c r="D105" s="163">
        <f>1858740105864.19/1000</f>
        <v>1858740105.8641899</v>
      </c>
      <c r="E105" s="164">
        <f>446027703580.268/1000</f>
        <v>446027703.58026803</v>
      </c>
      <c r="F105" s="269">
        <f>23995685014.2142/1000</f>
        <v>23995685.014214199</v>
      </c>
      <c r="G105" s="103">
        <v>3.7025357994121837</v>
      </c>
      <c r="H105" s="110">
        <v>15.43</v>
      </c>
      <c r="I105" s="277">
        <f t="shared" si="1"/>
        <v>286.80372240628571</v>
      </c>
    </row>
    <row r="106" spans="1:45" ht="15" customHeight="1" x14ac:dyDescent="0.25">
      <c r="B106" s="108" t="s">
        <v>167</v>
      </c>
      <c r="C106" s="105">
        <f>7212196577.5592/1000</f>
        <v>7212196.5775592001</v>
      </c>
      <c r="D106" s="158">
        <f>878043027881.581/1000</f>
        <v>878043027.88158107</v>
      </c>
      <c r="E106" s="159">
        <f>213002974177.365/1000</f>
        <v>213002974.17736501</v>
      </c>
      <c r="F106" s="270">
        <f>19618049397.9852/1000</f>
        <v>19618049.397985198</v>
      </c>
      <c r="G106" s="102">
        <v>0.82139443609725826</v>
      </c>
      <c r="H106" s="111">
        <v>3.3860000000000001</v>
      </c>
      <c r="I106" s="278">
        <f t="shared" si="1"/>
        <v>36.763066659929521</v>
      </c>
    </row>
    <row r="107" spans="1:45" ht="15" customHeight="1" x14ac:dyDescent="0.25">
      <c r="B107" s="107" t="s">
        <v>168</v>
      </c>
      <c r="C107" s="233" t="s">
        <v>131</v>
      </c>
      <c r="D107" s="163">
        <f>552397273212.599/1000</f>
        <v>552397273.21259904</v>
      </c>
      <c r="E107" s="155" t="s">
        <v>131</v>
      </c>
      <c r="F107" s="269">
        <f>4869881000/1000</f>
        <v>4869881</v>
      </c>
      <c r="G107" s="234" t="s">
        <v>131</v>
      </c>
      <c r="H107" s="110" t="s">
        <v>131</v>
      </c>
      <c r="I107" s="277" t="s">
        <v>131</v>
      </c>
    </row>
    <row r="108" spans="1:45" ht="15" customHeight="1" x14ac:dyDescent="0.25">
      <c r="B108" s="235" t="s">
        <v>270</v>
      </c>
      <c r="C108" s="236">
        <f>271000000/1000</f>
        <v>271000</v>
      </c>
      <c r="D108" s="158">
        <f>215837906603.774/1000</f>
        <v>215837906.60377398</v>
      </c>
      <c r="E108" s="160">
        <f>96100000000/1000</f>
        <v>96100000</v>
      </c>
      <c r="F108" s="273">
        <f>3400000000/1000</f>
        <v>3400000</v>
      </c>
      <c r="G108" s="102">
        <f>(C108/D108)*100</f>
        <v>0.12555718514148223</v>
      </c>
      <c r="H108" s="111">
        <f>(C108/E108)*100</f>
        <v>0.28199791883454733</v>
      </c>
      <c r="I108" s="278">
        <f t="shared" si="1"/>
        <v>7.9705882352941178</v>
      </c>
    </row>
    <row r="109" spans="1:45" s="179" customFormat="1" ht="15" customHeight="1" x14ac:dyDescent="0.25">
      <c r="A109" s="77"/>
      <c r="B109" s="107" t="s">
        <v>40</v>
      </c>
      <c r="C109" s="106">
        <f>700386059.640129/1000</f>
        <v>700386.05964012898</v>
      </c>
      <c r="D109" s="163">
        <f>210636348359.245/1000</f>
        <v>210636348.359245</v>
      </c>
      <c r="E109" s="164">
        <f>227079096034.948/1000</f>
        <v>227079096.03494799</v>
      </c>
      <c r="F109" s="269">
        <f>40961642315.2272/1000</f>
        <v>40961642.315227203</v>
      </c>
      <c r="G109" s="103">
        <v>0.33250959062659335</v>
      </c>
      <c r="H109" s="110">
        <v>0.308</v>
      </c>
      <c r="I109" s="277">
        <f t="shared" si="1"/>
        <v>1.7098583456449095</v>
      </c>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row>
    <row r="110" spans="1:45" ht="15" customHeight="1" x14ac:dyDescent="0.25">
      <c r="B110" s="108" t="s">
        <v>41</v>
      </c>
      <c r="C110" s="105">
        <f>19232686.4153367/1000</f>
        <v>19232.686415336699</v>
      </c>
      <c r="D110" s="158">
        <f>13578943166.6464/1000</f>
        <v>13578943.1666464</v>
      </c>
      <c r="E110" s="159">
        <f>8070294931.92509/1000</f>
        <v>8070294.93192509</v>
      </c>
      <c r="F110" s="273">
        <f>1085991962.2733/1000</f>
        <v>1085991.9622732999</v>
      </c>
      <c r="G110" s="102">
        <v>0.14163610657549125</v>
      </c>
      <c r="H110" s="111">
        <v>0.23799999999999999</v>
      </c>
      <c r="I110" s="278">
        <f t="shared" si="1"/>
        <v>1.7709787073448537</v>
      </c>
    </row>
    <row r="111" spans="1:45" s="179" customFormat="1" ht="15" customHeight="1" x14ac:dyDescent="0.25">
      <c r="A111" s="77"/>
      <c r="B111" s="107" t="s">
        <v>104</v>
      </c>
      <c r="C111" s="106">
        <f>684900000/1000</f>
        <v>684900</v>
      </c>
      <c r="D111" s="163">
        <f>257621957026.894/1000</f>
        <v>257621957.026894</v>
      </c>
      <c r="E111" s="164">
        <f>93197697035.7115/1000</f>
        <v>93197697.035711497</v>
      </c>
      <c r="F111" s="269">
        <f>9481000000/1000</f>
        <v>9481000</v>
      </c>
      <c r="G111" s="103">
        <v>0.2658546685632473</v>
      </c>
      <c r="H111" s="110">
        <v>0.73499999999999999</v>
      </c>
      <c r="I111" s="277">
        <f t="shared" si="1"/>
        <v>7.2239215272650563</v>
      </c>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row>
    <row r="112" spans="1:45" ht="15" customHeight="1" x14ac:dyDescent="0.25">
      <c r="B112" s="108" t="s">
        <v>42</v>
      </c>
      <c r="C112" s="105">
        <f>7326336256.38658/1000</f>
        <v>7326336.2563865809</v>
      </c>
      <c r="D112" s="158">
        <f>2013375304003.6/1000</f>
        <v>2013375304.0036001</v>
      </c>
      <c r="E112" s="159">
        <f>608341770525.504/1000</f>
        <v>608341770.52550399</v>
      </c>
      <c r="F112" s="273">
        <f>6686399841.42705/1000</f>
        <v>6686399.8414270496</v>
      </c>
      <c r="G112" s="102">
        <v>0.36388328801978237</v>
      </c>
      <c r="H112" s="111">
        <v>1.204</v>
      </c>
      <c r="I112" s="278">
        <f t="shared" si="1"/>
        <v>109.57071712933866</v>
      </c>
    </row>
    <row r="113" spans="1:45" s="179" customFormat="1" ht="15" customHeight="1" x14ac:dyDescent="0.25">
      <c r="A113" s="77"/>
      <c r="B113" s="107" t="s">
        <v>105</v>
      </c>
      <c r="C113" s="106">
        <f>2145382921.82436/1000</f>
        <v>2145382.9218243598</v>
      </c>
      <c r="D113" s="163">
        <f>14755051129.3404/1000</f>
        <v>14755051.129340401</v>
      </c>
      <c r="E113" s="164">
        <f>4489886504.10158/1000</f>
        <v>4489886.50410158</v>
      </c>
      <c r="F113" s="269">
        <f>228778071.819989/1000</f>
        <v>228778.07181998898</v>
      </c>
      <c r="G113" s="103">
        <v>14.53998975007462</v>
      </c>
      <c r="H113" s="110">
        <v>47.783000000000001</v>
      </c>
      <c r="I113" s="277">
        <f t="shared" si="1"/>
        <v>937.75723554153649</v>
      </c>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row>
    <row r="114" spans="1:45" ht="15" customHeight="1" x14ac:dyDescent="0.25">
      <c r="B114" s="108" t="s">
        <v>43</v>
      </c>
      <c r="C114" s="105">
        <f>2539577664.61313/1000</f>
        <v>2539577.66461313</v>
      </c>
      <c r="D114" s="158">
        <f>5961065540383.88/1000</f>
        <v>5961065540.3838797</v>
      </c>
      <c r="E114" s="159">
        <f>873963692419.524/1000</f>
        <v>873963692.41952407</v>
      </c>
      <c r="F114" s="273">
        <f>2525407957.05261/1000</f>
        <v>2525407.9570526099</v>
      </c>
      <c r="G114" s="102">
        <v>4.2602746898326944E-2</v>
      </c>
      <c r="H114" s="111">
        <v>0.29099999999999998</v>
      </c>
      <c r="I114" s="278">
        <f t="shared" si="1"/>
        <v>100.56108588400336</v>
      </c>
    </row>
    <row r="115" spans="1:45" s="179" customFormat="1" ht="15" customHeight="1" x14ac:dyDescent="0.25">
      <c r="A115" s="77"/>
      <c r="B115" s="107" t="s">
        <v>170</v>
      </c>
      <c r="C115" s="106">
        <f>3573661971.83099/1000</f>
        <v>3573661.9718309897</v>
      </c>
      <c r="D115" s="163">
        <f>31015239496.4411/1000</f>
        <v>31015239.4964411</v>
      </c>
      <c r="E115" s="164">
        <f>13606596800/1000</f>
        <v>13606596.800000001</v>
      </c>
      <c r="F115" s="269">
        <f>1497323943.66197/1000</f>
        <v>1497323.9436619699</v>
      </c>
      <c r="G115" s="103">
        <v>11.522277531473058</v>
      </c>
      <c r="H115" s="110">
        <v>26.263999999999999</v>
      </c>
      <c r="I115" s="277">
        <f t="shared" si="1"/>
        <v>238.66992757031383</v>
      </c>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row>
    <row r="116" spans="1:45" ht="15" customHeight="1" x14ac:dyDescent="0.25">
      <c r="B116" s="108" t="s">
        <v>106</v>
      </c>
      <c r="C116" s="105" t="s">
        <v>131</v>
      </c>
      <c r="D116" s="158">
        <f>174984468.834127/1000</f>
        <v>174984.46883412701</v>
      </c>
      <c r="E116" s="159">
        <f>19619978.2563678/1000</f>
        <v>19619.978256367798</v>
      </c>
      <c r="F116" s="273">
        <f>-1679659.9403/1000</f>
        <v>-1679.6599402999998</v>
      </c>
      <c r="G116" s="102" t="s">
        <v>131</v>
      </c>
      <c r="H116" s="111" t="s">
        <v>131</v>
      </c>
      <c r="I116" s="278" t="s">
        <v>131</v>
      </c>
    </row>
    <row r="117" spans="1:45" s="179" customFormat="1" ht="15" customHeight="1" x14ac:dyDescent="0.25">
      <c r="A117" s="77"/>
      <c r="B117" s="107" t="s">
        <v>107</v>
      </c>
      <c r="C117" s="106">
        <f>1059029271.85769/1000</f>
        <v>1059029.2718576901</v>
      </c>
      <c r="D117" s="163">
        <f>6445201980.60846/1000</f>
        <v>6445201.9806084605</v>
      </c>
      <c r="E117" s="164">
        <f>1184562035.26861/1000</f>
        <v>1184562.0352686101</v>
      </c>
      <c r="F117" s="269">
        <f>293195749.631414/1000</f>
        <v>293195.74963141402</v>
      </c>
      <c r="G117" s="103">
        <v>16.431281363159282</v>
      </c>
      <c r="H117" s="110">
        <v>89.403000000000006</v>
      </c>
      <c r="I117" s="277">
        <f t="shared" si="1"/>
        <v>361.20212287832635</v>
      </c>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row>
    <row r="118" spans="1:45" ht="15" customHeight="1" x14ac:dyDescent="0.25">
      <c r="B118" s="108" t="s">
        <v>108</v>
      </c>
      <c r="C118" s="105">
        <f>8254812.83534691/1000</f>
        <v>8254.812835346911</v>
      </c>
      <c r="D118" s="158">
        <f>183242586638.085/1000</f>
        <v>183242586.63808498</v>
      </c>
      <c r="E118" s="159">
        <f>129289031797.07/1000</f>
        <v>129289031.79707001</v>
      </c>
      <c r="F118" s="273">
        <f>1850943363.84026/1000</f>
        <v>1850943.3638402601</v>
      </c>
      <c r="G118" s="102">
        <v>4.5048550049397928E-3</v>
      </c>
      <c r="H118" s="111">
        <v>6.0000000000000001E-3</v>
      </c>
      <c r="I118" s="278">
        <f t="shared" si="1"/>
        <v>0.44597868290362863</v>
      </c>
    </row>
    <row r="119" spans="1:45" s="179" customFormat="1" ht="15" customHeight="1" x14ac:dyDescent="0.25">
      <c r="A119" s="77"/>
      <c r="B119" s="107" t="s">
        <v>175</v>
      </c>
      <c r="C119" s="106">
        <f>58516879.41/1000</f>
        <v>58516.879409999994</v>
      </c>
      <c r="D119" s="163">
        <f>9417665585.95006/1000</f>
        <v>9417665.5859500598</v>
      </c>
      <c r="E119" s="164">
        <f>3412912444.70716/1000</f>
        <v>3412912.4447071599</v>
      </c>
      <c r="F119" s="269">
        <f>294375016/1000</f>
        <v>294375.016</v>
      </c>
      <c r="G119" s="103">
        <v>0.62135227542268645</v>
      </c>
      <c r="H119" s="110">
        <v>1.7150000000000001</v>
      </c>
      <c r="I119" s="277">
        <f t="shared" si="1"/>
        <v>19.878344366697203</v>
      </c>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row>
    <row r="120" spans="1:45" ht="15" customHeight="1" x14ac:dyDescent="0.25">
      <c r="B120" s="108" t="s">
        <v>177</v>
      </c>
      <c r="C120" s="105">
        <f>554033690.89906/1000</f>
        <v>554033.69089905999</v>
      </c>
      <c r="D120" s="158">
        <f>2447573299.47777/1000</f>
        <v>2447573.29947777</v>
      </c>
      <c r="E120" s="159">
        <f>1138676702.09102/1000</f>
        <v>1138676.7020910201</v>
      </c>
      <c r="F120" s="273">
        <f>197761574.950194/1000</f>
        <v>197761.57495019402</v>
      </c>
      <c r="G120" s="102">
        <v>22.636040808962544</v>
      </c>
      <c r="H120" s="111">
        <v>48.655999999999999</v>
      </c>
      <c r="I120" s="278">
        <f t="shared" si="1"/>
        <v>280.15234559018489</v>
      </c>
    </row>
    <row r="121" spans="1:45" s="179" customFormat="1" ht="15" customHeight="1" x14ac:dyDescent="0.25">
      <c r="A121" s="77"/>
      <c r="B121" s="107" t="s">
        <v>44</v>
      </c>
      <c r="C121" s="106">
        <f>729800000/1000</f>
        <v>729800</v>
      </c>
      <c r="D121" s="163">
        <f>28372577696.5265/1000</f>
        <v>28372577.696526501</v>
      </c>
      <c r="E121" s="155" t="s">
        <v>131</v>
      </c>
      <c r="F121" s="269">
        <f>1076300000/1000</f>
        <v>1076300</v>
      </c>
      <c r="G121" s="103">
        <v>2.5722019613654821</v>
      </c>
      <c r="H121" s="110"/>
      <c r="I121" s="277">
        <f t="shared" si="1"/>
        <v>67.806373687633553</v>
      </c>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row>
    <row r="122" spans="1:45" ht="15" customHeight="1" x14ac:dyDescent="0.25">
      <c r="B122" s="108" t="s">
        <v>176</v>
      </c>
      <c r="C122" s="105">
        <f>6918082441.26183/1000</f>
        <v>6918082.4412618307</v>
      </c>
      <c r="D122" s="158">
        <f>42945273631.8408/1000</f>
        <v>42945273.631840795</v>
      </c>
      <c r="E122" s="159">
        <f>12314263914.8377/1000</f>
        <v>12314263.914837699</v>
      </c>
      <c r="F122" s="273">
        <f>3677982961.60618/1000</f>
        <v>3677982.9616061803</v>
      </c>
      <c r="G122" s="102">
        <v>16.109065925551761</v>
      </c>
      <c r="H122" s="111">
        <v>56.179000000000002</v>
      </c>
      <c r="I122" s="278">
        <f t="shared" si="1"/>
        <v>188.09446681723327</v>
      </c>
    </row>
    <row r="123" spans="1:45" s="179" customFormat="1" ht="15" customHeight="1" x14ac:dyDescent="0.25">
      <c r="A123" s="77"/>
      <c r="B123" s="107" t="s">
        <v>178</v>
      </c>
      <c r="C123" s="106" t="s">
        <v>131</v>
      </c>
      <c r="D123" s="163">
        <f>1733823552.70914/1000</f>
        <v>1733823.5527091401</v>
      </c>
      <c r="E123" s="155" t="s">
        <v>131</v>
      </c>
      <c r="F123" s="269">
        <f>1354100000/1000</f>
        <v>1354100</v>
      </c>
      <c r="G123" s="103" t="s">
        <v>131</v>
      </c>
      <c r="H123" s="110" t="s">
        <v>131</v>
      </c>
      <c r="I123" s="277" t="s">
        <v>131</v>
      </c>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row>
    <row r="124" spans="1:45" ht="15" customHeight="1" x14ac:dyDescent="0.25">
      <c r="B124" s="108" t="s">
        <v>179</v>
      </c>
      <c r="C124" s="105" t="s">
        <v>131</v>
      </c>
      <c r="D124" s="160" t="s">
        <v>131</v>
      </c>
      <c r="E124" s="160" t="s">
        <v>131</v>
      </c>
      <c r="F124" s="274" t="s">
        <v>131</v>
      </c>
      <c r="G124" s="102" t="s">
        <v>131</v>
      </c>
      <c r="H124" s="111" t="s">
        <v>131</v>
      </c>
      <c r="I124" s="278" t="s">
        <v>131</v>
      </c>
    </row>
    <row r="125" spans="1:45" s="179" customFormat="1" ht="15" customHeight="1" x14ac:dyDescent="0.25">
      <c r="A125" s="77"/>
      <c r="B125" s="107" t="s">
        <v>109</v>
      </c>
      <c r="C125" s="106" t="s">
        <v>131</v>
      </c>
      <c r="D125" s="155" t="s">
        <v>131</v>
      </c>
      <c r="E125" s="155" t="s">
        <v>131</v>
      </c>
      <c r="F125" s="271" t="s">
        <v>131</v>
      </c>
      <c r="G125" s="103" t="s">
        <v>131</v>
      </c>
      <c r="H125" s="110" t="s">
        <v>131</v>
      </c>
      <c r="I125" s="277" t="s">
        <v>131</v>
      </c>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row>
    <row r="126" spans="1:45" ht="15" customHeight="1" x14ac:dyDescent="0.25">
      <c r="B126" s="108" t="s">
        <v>45</v>
      </c>
      <c r="C126" s="105">
        <f>1508148949.57397/1000</f>
        <v>1508148.9495739702</v>
      </c>
      <c r="D126" s="158">
        <f>42343521965.7483/1000</f>
        <v>42343521.965748295</v>
      </c>
      <c r="E126" s="160" t="s">
        <v>131</v>
      </c>
      <c r="F126" s="273">
        <f>574048471.401881/1000</f>
        <v>574048.47140188096</v>
      </c>
      <c r="G126" s="102">
        <v>3.5616993569734507</v>
      </c>
      <c r="H126" s="111" t="s">
        <v>131</v>
      </c>
      <c r="I126" s="278">
        <f t="shared" si="1"/>
        <v>262.72153393091128</v>
      </c>
    </row>
    <row r="127" spans="1:45" s="179" customFormat="1" ht="15" customHeight="1" x14ac:dyDescent="0.25">
      <c r="A127" s="77"/>
      <c r="B127" s="107" t="s">
        <v>46</v>
      </c>
      <c r="C127" s="106">
        <f>1681077280.85864/1000</f>
        <v>1681077.2808586399</v>
      </c>
      <c r="D127" s="163">
        <f>55143003983.04/1000</f>
        <v>55143003.983039998</v>
      </c>
      <c r="E127" s="164">
        <f>97761531543.1068/1000</f>
        <v>97761531.543106794</v>
      </c>
      <c r="F127" s="269">
        <f>27877718452.1531/1000</f>
        <v>27877718.452153098</v>
      </c>
      <c r="G127" s="103">
        <v>3.0485776244175598</v>
      </c>
      <c r="H127" s="110">
        <v>1.72</v>
      </c>
      <c r="I127" s="277">
        <f t="shared" si="1"/>
        <v>6.0301824331280747</v>
      </c>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row>
    <row r="128" spans="1:45" ht="15" customHeight="1" x14ac:dyDescent="0.25">
      <c r="B128" s="326" t="s">
        <v>301</v>
      </c>
      <c r="C128" s="105">
        <f>45760105.9141999/1000</f>
        <v>45760.105914199907</v>
      </c>
      <c r="D128" s="158">
        <f>43582271461.8341/1000</f>
        <v>43582271.461834095</v>
      </c>
      <c r="E128" s="159">
        <f>47189053980.7094/1000</f>
        <v>47189053.980709396</v>
      </c>
      <c r="F128" s="273">
        <f>4261273549.91734/1000</f>
        <v>4261273.5499173393</v>
      </c>
      <c r="G128" s="102">
        <v>0.10499706504346147</v>
      </c>
      <c r="H128" s="111">
        <v>9.7000000000000003E-2</v>
      </c>
      <c r="I128" s="278">
        <f t="shared" si="1"/>
        <v>1.0738598538243942</v>
      </c>
    </row>
    <row r="129" spans="1:45" s="179" customFormat="1" ht="15" customHeight="1" x14ac:dyDescent="0.25">
      <c r="A129" s="77"/>
      <c r="B129" s="107" t="s">
        <v>180</v>
      </c>
      <c r="C129" s="106">
        <f>394153574/1000</f>
        <v>394153.57400000002</v>
      </c>
      <c r="D129" s="163">
        <f>9612518136.34871/1000</f>
        <v>9612518.1363487095</v>
      </c>
      <c r="E129" s="164">
        <f>5110845321.62991/1000</f>
        <v>5110845.3216299107</v>
      </c>
      <c r="F129" s="269">
        <f>282676631.956062/1000</f>
        <v>282676.63195606205</v>
      </c>
      <c r="G129" s="103">
        <v>4.1004195613379411</v>
      </c>
      <c r="H129" s="110">
        <v>7.7119999999999997</v>
      </c>
      <c r="I129" s="277">
        <f t="shared" si="1"/>
        <v>139.43620711501384</v>
      </c>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row>
    <row r="130" spans="1:45" ht="15" customHeight="1" x14ac:dyDescent="0.25">
      <c r="B130" s="108" t="s">
        <v>181</v>
      </c>
      <c r="C130" s="105" t="s">
        <v>131</v>
      </c>
      <c r="D130" s="158">
        <f>9975124872.405/1000</f>
        <v>9975124.872405</v>
      </c>
      <c r="E130" s="160" t="s">
        <v>131</v>
      </c>
      <c r="F130" s="273">
        <f>894664004.5654/1000</f>
        <v>894664.00456539996</v>
      </c>
      <c r="G130" s="102" t="s">
        <v>131</v>
      </c>
      <c r="H130" s="111" t="s">
        <v>131</v>
      </c>
      <c r="I130" s="278" t="s">
        <v>131</v>
      </c>
    </row>
    <row r="131" spans="1:45" s="179" customFormat="1" ht="15" customHeight="1" x14ac:dyDescent="0.25">
      <c r="A131" s="77"/>
      <c r="B131" s="107" t="s">
        <v>182</v>
      </c>
      <c r="C131" s="106">
        <f>1319707014.54241/1000</f>
        <v>1319707.0145424099</v>
      </c>
      <c r="D131" s="163">
        <f>305032745224.598/1000</f>
        <v>305032745.22459805</v>
      </c>
      <c r="E131" s="164">
        <f>265794216855.756/1000</f>
        <v>265794216.85575601</v>
      </c>
      <c r="F131" s="269">
        <f>9733616207.38083/1000</f>
        <v>9733616.2073808312</v>
      </c>
      <c r="G131" s="103">
        <v>0.43264437513772452</v>
      </c>
      <c r="H131" s="110">
        <v>0.497</v>
      </c>
      <c r="I131" s="277">
        <f t="shared" si="1"/>
        <v>13.558239676038378</v>
      </c>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row>
    <row r="132" spans="1:45" ht="15" customHeight="1" x14ac:dyDescent="0.25">
      <c r="B132" s="108" t="s">
        <v>110</v>
      </c>
      <c r="C132" s="105">
        <f>28303380.4090948/1000</f>
        <v>28303.3804090948</v>
      </c>
      <c r="D132" s="158">
        <f>4263794983.9006/1000</f>
        <v>4263794.9839006001</v>
      </c>
      <c r="E132" s="160" t="s">
        <v>131</v>
      </c>
      <c r="F132" s="273">
        <f>129492664.735634/1000</f>
        <v>129492.664735634</v>
      </c>
      <c r="G132" s="102">
        <v>0.66380725424096987</v>
      </c>
      <c r="H132" s="111"/>
      <c r="I132" s="278">
        <f t="shared" si="1"/>
        <v>21.857130260526819</v>
      </c>
    </row>
    <row r="133" spans="1:45" s="179" customFormat="1" ht="15" customHeight="1" x14ac:dyDescent="0.25">
      <c r="A133" s="77"/>
      <c r="B133" s="107" t="s">
        <v>183</v>
      </c>
      <c r="C133" s="106">
        <f>3147415.8864661/1000</f>
        <v>3147.4158864660999</v>
      </c>
      <c r="D133" s="163">
        <f>2222429330.40067/1000</f>
        <v>2222429.3304006699</v>
      </c>
      <c r="E133" s="164">
        <f>2352369345.91604/1000</f>
        <v>2352369.3459160398</v>
      </c>
      <c r="F133" s="269">
        <f>283976829.77025/1000</f>
        <v>283976.82977025001</v>
      </c>
      <c r="G133" s="103">
        <v>0.14162051604577539</v>
      </c>
      <c r="H133" s="110">
        <v>0.13400000000000001</v>
      </c>
      <c r="I133" s="277">
        <f t="shared" si="1"/>
        <v>1.1083354543441097</v>
      </c>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row>
    <row r="134" spans="1:45" ht="15" customHeight="1" x14ac:dyDescent="0.25">
      <c r="B134" s="108" t="s">
        <v>111</v>
      </c>
      <c r="C134" s="105" t="s">
        <v>131</v>
      </c>
      <c r="D134" s="158">
        <f>10387718375.334/1000</f>
        <v>10387718.375334</v>
      </c>
      <c r="E134" s="159">
        <f>3232606224.39668/1000</f>
        <v>3232606.22439668</v>
      </c>
      <c r="F134" s="273">
        <f>310463501.4407/1000</f>
        <v>310463.50144069997</v>
      </c>
      <c r="G134" s="102" t="s">
        <v>131</v>
      </c>
      <c r="H134" s="111" t="s">
        <v>131</v>
      </c>
      <c r="I134" s="278" t="s">
        <v>131</v>
      </c>
    </row>
    <row r="135" spans="1:45" s="179" customFormat="1" ht="15" customHeight="1" x14ac:dyDescent="0.25">
      <c r="A135" s="77"/>
      <c r="B135" s="107" t="s">
        <v>47</v>
      </c>
      <c r="C135" s="106">
        <f>33495400.0654369/1000</f>
        <v>33495.400065436901</v>
      </c>
      <c r="D135" s="163">
        <f>8740973917.51253/1000</f>
        <v>8740973.9175125286</v>
      </c>
      <c r="E135" s="155" t="s">
        <v>131</v>
      </c>
      <c r="F135" s="269">
        <f>599290811.453561/1000</f>
        <v>599290.81145356095</v>
      </c>
      <c r="G135" s="103">
        <v>0.38319986287030233</v>
      </c>
      <c r="H135" s="110" t="s">
        <v>131</v>
      </c>
      <c r="I135" s="277">
        <f t="shared" ref="I135:I198" si="2">(C135/F135)*100</f>
        <v>5.589172973334076</v>
      </c>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row>
    <row r="136" spans="1:45" ht="15" customHeight="1" x14ac:dyDescent="0.25">
      <c r="B136" s="108" t="s">
        <v>48</v>
      </c>
      <c r="C136" s="105">
        <f>6507907642.08226/1000</f>
        <v>6507907.64208226</v>
      </c>
      <c r="D136" s="158">
        <f>95981572517.1671/1000</f>
        <v>95981572.517167106</v>
      </c>
      <c r="E136" s="159">
        <f>34727808307.8201/1000</f>
        <v>34727808.307820097</v>
      </c>
      <c r="F136" s="273">
        <f>2841955516.73253/1000</f>
        <v>2841955.5167325302</v>
      </c>
      <c r="G136" s="102">
        <v>6.7803719728787195</v>
      </c>
      <c r="H136" s="111">
        <v>18.739999999999998</v>
      </c>
      <c r="I136" s="278">
        <f t="shared" si="2"/>
        <v>228.99400091823287</v>
      </c>
    </row>
    <row r="137" spans="1:45" s="179" customFormat="1" ht="15" customHeight="1" x14ac:dyDescent="0.25">
      <c r="A137" s="77"/>
      <c r="B137" s="107" t="s">
        <v>186</v>
      </c>
      <c r="C137" s="106">
        <f>861942.599941731/1000</f>
        <v>861.94259994173092</v>
      </c>
      <c r="D137" s="163">
        <f>10486037633.994/1000</f>
        <v>10486037.633994</v>
      </c>
      <c r="E137" s="164">
        <f>5743884950.49909/1000</f>
        <v>5743884.9504990904</v>
      </c>
      <c r="F137" s="269">
        <f>360931780.3661/1000</f>
        <v>360931.78036610002</v>
      </c>
      <c r="G137" s="103">
        <v>8.2199075573356154E-3</v>
      </c>
      <c r="H137" s="110">
        <v>1.4999999999999999E-2</v>
      </c>
      <c r="I137" s="277">
        <f t="shared" si="2"/>
        <v>0.23881039210995664</v>
      </c>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row>
    <row r="138" spans="1:45" ht="15" customHeight="1" x14ac:dyDescent="0.25">
      <c r="B138" s="108" t="s">
        <v>185</v>
      </c>
      <c r="C138" s="105" t="s">
        <v>131</v>
      </c>
      <c r="D138" s="158">
        <f>4199051817.05876/1000</f>
        <v>4199051.8170587597</v>
      </c>
      <c r="E138" s="159">
        <f>2436420747.19169/1000</f>
        <v>2436420.7471916899</v>
      </c>
      <c r="F138" s="273">
        <f>1204368316.3644/1000</f>
        <v>1204368.3163643999</v>
      </c>
      <c r="G138" s="102" t="s">
        <v>131</v>
      </c>
      <c r="H138" s="111" t="s">
        <v>131</v>
      </c>
      <c r="I138" s="278" t="s">
        <v>131</v>
      </c>
    </row>
    <row r="139" spans="1:45" s="179" customFormat="1" ht="15" customHeight="1" x14ac:dyDescent="0.25">
      <c r="A139" s="77"/>
      <c r="B139" s="107" t="s">
        <v>49</v>
      </c>
      <c r="C139" s="106">
        <f>23365990957/1000</f>
        <v>23365990.956999999</v>
      </c>
      <c r="D139" s="163">
        <f>1178126184343.49/1000</f>
        <v>1178126184.3434899</v>
      </c>
      <c r="E139" s="164">
        <f>387306924467.948/1000</f>
        <v>387306924.46794802</v>
      </c>
      <c r="F139" s="269">
        <f>15453342870/1000</f>
        <v>15453342.869999999</v>
      </c>
      <c r="G139" s="103">
        <v>1.9833181935448319</v>
      </c>
      <c r="H139" s="110">
        <v>6.0330000000000004</v>
      </c>
      <c r="I139" s="277">
        <f t="shared" si="2"/>
        <v>151.20347198379349</v>
      </c>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row>
    <row r="140" spans="1:45" ht="15" customHeight="1" x14ac:dyDescent="0.25">
      <c r="B140" s="108" t="s">
        <v>187</v>
      </c>
      <c r="C140" s="105" t="s">
        <v>131</v>
      </c>
      <c r="D140" s="158">
        <f>326160960.784002/1000</f>
        <v>326160.96078400203</v>
      </c>
      <c r="E140" s="160" t="s">
        <v>131</v>
      </c>
      <c r="F140" s="273">
        <f>800000/1000</f>
        <v>800</v>
      </c>
      <c r="G140" s="102" t="s">
        <v>131</v>
      </c>
      <c r="H140" s="111" t="s">
        <v>131</v>
      </c>
      <c r="I140" s="278" t="s">
        <v>131</v>
      </c>
    </row>
    <row r="141" spans="1:45" s="179" customFormat="1" ht="15" customHeight="1" x14ac:dyDescent="0.25">
      <c r="A141" s="77"/>
      <c r="B141" s="156" t="s">
        <v>50</v>
      </c>
      <c r="C141" s="106">
        <f>220213602.037/1000</f>
        <v>220213.602037</v>
      </c>
      <c r="D141" s="163">
        <f>14243717484.4635/1000</f>
        <v>14243717.4844635</v>
      </c>
      <c r="E141" s="164">
        <f>4243084124.21945/1000</f>
        <v>4243084.1242194502</v>
      </c>
      <c r="F141" s="269">
        <f>5238320034.89682/1000</f>
        <v>5238320.0348968199</v>
      </c>
      <c r="G141" s="103">
        <v>1.5460402263468147</v>
      </c>
      <c r="H141" s="110">
        <v>5.19</v>
      </c>
      <c r="I141" s="277">
        <f t="shared" si="2"/>
        <v>4.2038974436455483</v>
      </c>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row>
    <row r="142" spans="1:45" ht="15" customHeight="1" x14ac:dyDescent="0.25">
      <c r="B142" s="108" t="s">
        <v>188</v>
      </c>
      <c r="C142" s="105">
        <f>1786320000/1000</f>
        <v>1786320</v>
      </c>
      <c r="D142" s="158">
        <f>7252769934.44626/1000</f>
        <v>7252769.9344462603</v>
      </c>
      <c r="E142" s="159">
        <f>3163999933.95089/1000</f>
        <v>3163999.9339508899</v>
      </c>
      <c r="F142" s="273">
        <f>184940000/1000</f>
        <v>184940</v>
      </c>
      <c r="G142" s="102">
        <v>24.62948661195032</v>
      </c>
      <c r="H142" s="111">
        <v>56.457999999999998</v>
      </c>
      <c r="I142" s="278">
        <f t="shared" si="2"/>
        <v>965.89164053206446</v>
      </c>
    </row>
    <row r="143" spans="1:45" s="179" customFormat="1" ht="15" customHeight="1" x14ac:dyDescent="0.25">
      <c r="A143" s="77"/>
      <c r="B143" s="107" t="s">
        <v>189</v>
      </c>
      <c r="C143" s="106" t="s">
        <v>131</v>
      </c>
      <c r="D143" s="155" t="s">
        <v>131</v>
      </c>
      <c r="E143" s="155" t="s">
        <v>131</v>
      </c>
      <c r="F143" s="271" t="s">
        <v>131</v>
      </c>
      <c r="G143" s="103" t="s">
        <v>131</v>
      </c>
      <c r="H143" s="110" t="s">
        <v>131</v>
      </c>
      <c r="I143" s="277" t="s">
        <v>131</v>
      </c>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row>
    <row r="144" spans="1:45" ht="15" customHeight="1" x14ac:dyDescent="0.25">
      <c r="B144" s="108" t="s">
        <v>190</v>
      </c>
      <c r="C144" s="105">
        <f>320359550.826716/1000</f>
        <v>320359.550826716</v>
      </c>
      <c r="D144" s="158">
        <f>10271393281.3833/1000</f>
        <v>10271393.2813833</v>
      </c>
      <c r="E144" s="159">
        <f>5231737045.57075/1000</f>
        <v>5231737.0455707498</v>
      </c>
      <c r="F144" s="273">
        <f>4451772354.32035/1000</f>
        <v>4451772.3543203501</v>
      </c>
      <c r="G144" s="102">
        <v>3.1189493192453264</v>
      </c>
      <c r="H144" s="111">
        <v>6.1230000000000002</v>
      </c>
      <c r="I144" s="278">
        <f t="shared" si="2"/>
        <v>7.1962249039040342</v>
      </c>
    </row>
    <row r="145" spans="1:45" s="179" customFormat="1" ht="15" customHeight="1" x14ac:dyDescent="0.25">
      <c r="A145" s="77"/>
      <c r="B145" s="107" t="s">
        <v>112</v>
      </c>
      <c r="C145" s="106">
        <f>332611101.356451/1000</f>
        <v>332611.10135645099</v>
      </c>
      <c r="D145" s="163">
        <f>4373170811.72835/1000</f>
        <v>4373170.8117283499</v>
      </c>
      <c r="E145" s="164">
        <f>1854588558.02211/1000</f>
        <v>1854588.55802211</v>
      </c>
      <c r="F145" s="269">
        <f>618367296.036318/1000</f>
        <v>618367.29603631794</v>
      </c>
      <c r="G145" s="103">
        <v>7.6057194122037473</v>
      </c>
      <c r="H145" s="110">
        <v>17.934000000000001</v>
      </c>
      <c r="I145" s="277">
        <f t="shared" si="2"/>
        <v>53.788598376476251</v>
      </c>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row>
    <row r="146" spans="1:45" ht="15" customHeight="1" x14ac:dyDescent="0.25">
      <c r="B146" s="108" t="s">
        <v>113</v>
      </c>
      <c r="C146" s="105" t="s">
        <v>131</v>
      </c>
      <c r="D146" s="160" t="s">
        <v>131</v>
      </c>
      <c r="E146" s="160" t="s">
        <v>131</v>
      </c>
      <c r="F146" s="273">
        <f>2242980000/1000</f>
        <v>2242980</v>
      </c>
      <c r="G146" s="102" t="s">
        <v>131</v>
      </c>
      <c r="H146" s="111" t="s">
        <v>131</v>
      </c>
      <c r="I146" s="278" t="s">
        <v>131</v>
      </c>
    </row>
    <row r="147" spans="1:45" s="179" customFormat="1" ht="15" customHeight="1" x14ac:dyDescent="0.25">
      <c r="A147" s="77"/>
      <c r="B147" s="107" t="s">
        <v>191</v>
      </c>
      <c r="C147" s="106" t="s">
        <v>131</v>
      </c>
      <c r="D147" s="163">
        <f>13072278942.987/1000</f>
        <v>13072278.942986999</v>
      </c>
      <c r="E147" s="164">
        <f>5567987172.56102/1000</f>
        <v>5567987.1725610197</v>
      </c>
      <c r="F147" s="269">
        <f>357492171.1042/1000</f>
        <v>357492.17110420001</v>
      </c>
      <c r="G147" s="103" t="s">
        <v>131</v>
      </c>
      <c r="H147" s="110" t="s">
        <v>131</v>
      </c>
      <c r="I147" s="277" t="s">
        <v>131</v>
      </c>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row>
    <row r="148" spans="1:45" ht="15" customHeight="1" x14ac:dyDescent="0.25">
      <c r="B148" s="108" t="s">
        <v>114</v>
      </c>
      <c r="C148" s="105">
        <f>4793419078.36474/1000</f>
        <v>4793419.0783647401</v>
      </c>
      <c r="D148" s="158">
        <f>18962962962.963/1000</f>
        <v>18962962.962963</v>
      </c>
      <c r="E148" s="159">
        <f>1899543209.87654/1000</f>
        <v>1899543.2098765399</v>
      </c>
      <c r="F148" s="273">
        <f>91996289.6817916/1000</f>
        <v>91996.289681791604</v>
      </c>
      <c r="G148" s="102">
        <v>25.277795921064062</v>
      </c>
      <c r="H148" s="111">
        <v>252.346</v>
      </c>
      <c r="I148" s="278">
        <f t="shared" si="2"/>
        <v>5210.4482636689199</v>
      </c>
    </row>
    <row r="149" spans="1:45" s="179" customFormat="1" ht="15" customHeight="1" x14ac:dyDescent="0.25">
      <c r="A149" s="77"/>
      <c r="B149" s="107" t="s">
        <v>193</v>
      </c>
      <c r="C149" s="106">
        <f>1016300000/1000</f>
        <v>1016300</v>
      </c>
      <c r="D149" s="163">
        <f>10507356837.651/1000</f>
        <v>10507356.837650999</v>
      </c>
      <c r="E149" s="164">
        <f>4627367329.69007/1000</f>
        <v>4627367.3296900699</v>
      </c>
      <c r="F149" s="269">
        <f>804600000/1000</f>
        <v>804600</v>
      </c>
      <c r="G149" s="103">
        <v>9.6722707309062965</v>
      </c>
      <c r="H149" s="110">
        <v>21.963000000000001</v>
      </c>
      <c r="I149" s="277">
        <f t="shared" si="2"/>
        <v>126.31121053939847</v>
      </c>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row>
    <row r="150" spans="1:45" ht="15" customHeight="1" x14ac:dyDescent="0.25">
      <c r="B150" s="326" t="s">
        <v>302</v>
      </c>
      <c r="C150" s="105" t="s">
        <v>131</v>
      </c>
      <c r="D150" s="158">
        <f>6773185511.26727/1000</f>
        <v>6773185.51126727</v>
      </c>
      <c r="E150" s="159">
        <f>1678617922.01493/1000</f>
        <v>1678617.9220149301</v>
      </c>
      <c r="F150" s="273">
        <f>793354975.8891/1000</f>
        <v>793354.97588909999</v>
      </c>
      <c r="G150" s="102" t="s">
        <v>131</v>
      </c>
      <c r="H150" s="111" t="s">
        <v>131</v>
      </c>
      <c r="I150" s="278" t="s">
        <v>131</v>
      </c>
    </row>
    <row r="151" spans="1:45" s="179" customFormat="1" ht="15" customHeight="1" x14ac:dyDescent="0.25">
      <c r="A151" s="77"/>
      <c r="B151" s="107" t="s">
        <v>51</v>
      </c>
      <c r="C151" s="106">
        <f>20633319233.9196/1000</f>
        <v>20633319.233919602</v>
      </c>
      <c r="D151" s="163">
        <f>459615931972.51/1000</f>
        <v>459615931.97250998</v>
      </c>
      <c r="E151" s="164">
        <f>145554541540.58/1000</f>
        <v>145554541.54057997</v>
      </c>
      <c r="F151" s="269">
        <f>7101031884.44864/1000</f>
        <v>7101031.88444864</v>
      </c>
      <c r="G151" s="103">
        <v>4.489252395009161</v>
      </c>
      <c r="H151" s="110">
        <v>14.176</v>
      </c>
      <c r="I151" s="277">
        <f t="shared" si="2"/>
        <v>290.56790012599242</v>
      </c>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row>
    <row r="152" spans="1:45" ht="15" customHeight="1" x14ac:dyDescent="0.25">
      <c r="B152" s="108" t="s">
        <v>52</v>
      </c>
      <c r="C152" s="105">
        <f>766529947.016419/1000</f>
        <v>766529.94701641903</v>
      </c>
      <c r="D152" s="158">
        <f>500029909755.049/1000</f>
        <v>500029909.75504899</v>
      </c>
      <c r="E152" s="159">
        <f>204495401804.899/1000</f>
        <v>204495401.80489898</v>
      </c>
      <c r="F152" s="273">
        <f>22951127506.0839/1000</f>
        <v>22951127.506083902</v>
      </c>
      <c r="G152" s="102">
        <v>0.15329681926265579</v>
      </c>
      <c r="H152" s="111">
        <v>0.375</v>
      </c>
      <c r="I152" s="278">
        <f t="shared" si="2"/>
        <v>3.3398356869971932</v>
      </c>
    </row>
    <row r="153" spans="1:45" s="179" customFormat="1" ht="15" customHeight="1" x14ac:dyDescent="0.25">
      <c r="A153" s="77"/>
      <c r="B153" s="107" t="s">
        <v>192</v>
      </c>
      <c r="C153" s="106" t="s">
        <v>131</v>
      </c>
      <c r="D153" s="155" t="s">
        <v>131</v>
      </c>
      <c r="E153" s="155" t="s">
        <v>131</v>
      </c>
      <c r="F153" s="269">
        <f>1587780303.0303/1000</f>
        <v>1587780.3030303</v>
      </c>
      <c r="G153" s="103" t="s">
        <v>131</v>
      </c>
      <c r="H153" s="110" t="s">
        <v>131</v>
      </c>
      <c r="I153" s="277" t="s">
        <v>131</v>
      </c>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7"/>
    </row>
    <row r="154" spans="1:45" ht="15" customHeight="1" x14ac:dyDescent="0.25">
      <c r="B154" s="108" t="s">
        <v>5</v>
      </c>
      <c r="C154" s="105" t="s">
        <v>131</v>
      </c>
      <c r="D154" s="158">
        <f>171281095535.208/1000</f>
        <v>171281095.53520802</v>
      </c>
      <c r="E154" s="159">
        <f>49044647921.5623/1000</f>
        <v>49044647.921562299</v>
      </c>
      <c r="F154" s="273">
        <f>2209082993.32861/1000</f>
        <v>2209082.99332861</v>
      </c>
      <c r="G154" s="102" t="s">
        <v>131</v>
      </c>
      <c r="H154" s="111" t="s">
        <v>131</v>
      </c>
      <c r="I154" s="278" t="s">
        <v>131</v>
      </c>
    </row>
    <row r="155" spans="1:45" s="179" customFormat="1" ht="15" customHeight="1" x14ac:dyDescent="0.25">
      <c r="A155" s="77"/>
      <c r="B155" s="107" t="s">
        <v>195</v>
      </c>
      <c r="C155" s="106">
        <f>39011703.5110533/1000</f>
        <v>39011.703511053303</v>
      </c>
      <c r="D155" s="163">
        <f>78110793867.6199/1000</f>
        <v>78110793.867619902</v>
      </c>
      <c r="E155" s="155" t="s">
        <v>131</v>
      </c>
      <c r="F155" s="269">
        <f>1513654096.22887/1000</f>
        <v>1513654.0962288699</v>
      </c>
      <c r="G155" s="103">
        <v>4.9944062247234709E-2</v>
      </c>
      <c r="H155" s="110" t="s">
        <v>131</v>
      </c>
      <c r="I155" s="277">
        <f t="shared" si="2"/>
        <v>2.577319587628863</v>
      </c>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row>
    <row r="156" spans="1:45" ht="15" customHeight="1" x14ac:dyDescent="0.25">
      <c r="B156" s="108" t="s">
        <v>115</v>
      </c>
      <c r="C156" s="105" t="s">
        <v>131</v>
      </c>
      <c r="D156" s="158">
        <f>228415735.257751/1000</f>
        <v>228415.73525775099</v>
      </c>
      <c r="E156" s="159">
        <f>160828397.124308/1000</f>
        <v>160828.39712430799</v>
      </c>
      <c r="F156" s="273">
        <f>4583333.3333/1000</f>
        <v>4583.3333333</v>
      </c>
      <c r="G156" s="102" t="s">
        <v>131</v>
      </c>
      <c r="H156" s="111" t="s">
        <v>131</v>
      </c>
      <c r="I156" s="278" t="s">
        <v>131</v>
      </c>
    </row>
    <row r="157" spans="1:45" s="179" customFormat="1" ht="15" customHeight="1" x14ac:dyDescent="0.25">
      <c r="A157" s="77"/>
      <c r="B157" s="107" t="s">
        <v>197</v>
      </c>
      <c r="C157" s="106">
        <f>402300000/1000</f>
        <v>402300</v>
      </c>
      <c r="D157" s="163">
        <f>36252500000/1000</f>
        <v>36252500</v>
      </c>
      <c r="E157" s="164">
        <f>30284125200/1000</f>
        <v>30284125.199999999</v>
      </c>
      <c r="F157" s="269">
        <f>3383000000/1000</f>
        <v>3383000</v>
      </c>
      <c r="G157" s="103">
        <v>1.1097165712709469</v>
      </c>
      <c r="H157" s="110">
        <v>1.3280000000000001</v>
      </c>
      <c r="I157" s="277">
        <f t="shared" si="2"/>
        <v>11.891812001182382</v>
      </c>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row>
    <row r="158" spans="1:45" ht="15" customHeight="1" x14ac:dyDescent="0.25">
      <c r="B158" s="108" t="s">
        <v>198</v>
      </c>
      <c r="C158" s="105" t="s">
        <v>131</v>
      </c>
      <c r="D158" s="158">
        <f>15653921367.2759/1000</f>
        <v>15653921.367275899</v>
      </c>
      <c r="E158" s="160" t="s">
        <v>131</v>
      </c>
      <c r="F158" s="273">
        <f>28795623.0653/1000</f>
        <v>28795.623065299998</v>
      </c>
      <c r="G158" s="102" t="s">
        <v>131</v>
      </c>
      <c r="H158" s="111" t="s">
        <v>131</v>
      </c>
      <c r="I158" s="278" t="s">
        <v>131</v>
      </c>
    </row>
    <row r="159" spans="1:45" s="179" customFormat="1" ht="15" customHeight="1" x14ac:dyDescent="0.25">
      <c r="A159" s="77"/>
      <c r="B159" s="107" t="s">
        <v>196</v>
      </c>
      <c r="C159" s="106">
        <f>14007002000/1000</f>
        <v>14007002</v>
      </c>
      <c r="D159" s="163">
        <f>225143266331.151/1000</f>
        <v>225143266.33115101</v>
      </c>
      <c r="E159" s="164">
        <f>27763848406.3028/1000</f>
        <v>27763848.406302799</v>
      </c>
      <c r="F159" s="269">
        <f>853680000/1000</f>
        <v>853680</v>
      </c>
      <c r="G159" s="103">
        <v>6.2213728299552313</v>
      </c>
      <c r="H159" s="110">
        <v>50.451000000000001</v>
      </c>
      <c r="I159" s="277">
        <f t="shared" si="2"/>
        <v>1640.7789804142067</v>
      </c>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row>
    <row r="160" spans="1:45" ht="15" customHeight="1" x14ac:dyDescent="0.25">
      <c r="B160" s="108" t="s">
        <v>199</v>
      </c>
      <c r="C160" s="105">
        <f>634100000/1000</f>
        <v>634100</v>
      </c>
      <c r="D160" s="158">
        <f>25502060502.1181/1000</f>
        <v>25502060.502118099</v>
      </c>
      <c r="E160" s="159">
        <f>11886515524.9677/1000</f>
        <v>11886515.524967698</v>
      </c>
      <c r="F160" s="273">
        <f>363100000/1000</f>
        <v>363100</v>
      </c>
      <c r="G160" s="102">
        <v>2.4864657502766629</v>
      </c>
      <c r="H160" s="111">
        <v>5.335</v>
      </c>
      <c r="I160" s="278">
        <f t="shared" si="2"/>
        <v>174.63508675296063</v>
      </c>
    </row>
    <row r="161" spans="1:45" s="179" customFormat="1" ht="15" customHeight="1" x14ac:dyDescent="0.25">
      <c r="A161" s="77"/>
      <c r="B161" s="107" t="s">
        <v>116</v>
      </c>
      <c r="C161" s="106">
        <f>2787954662.52377/1000</f>
        <v>2787954.6625237698</v>
      </c>
      <c r="D161" s="163">
        <f>203790266509.653/1000</f>
        <v>203790266.509653</v>
      </c>
      <c r="E161" s="164">
        <f>52260936363.6364/1000</f>
        <v>52260936.363636397</v>
      </c>
      <c r="F161" s="269">
        <f>12244224090.3033/1000</f>
        <v>12244224.0903033</v>
      </c>
      <c r="G161" s="103">
        <v>1.3680509429000218</v>
      </c>
      <c r="H161" s="110">
        <v>5.335</v>
      </c>
      <c r="I161" s="277">
        <f t="shared" si="2"/>
        <v>22.769549478693914</v>
      </c>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row>
    <row r="162" spans="1:45" ht="15" customHeight="1" x14ac:dyDescent="0.25">
      <c r="B162" s="108" t="s">
        <v>159</v>
      </c>
      <c r="C162" s="105" t="s">
        <v>131</v>
      </c>
      <c r="D162" s="160" t="s">
        <v>131</v>
      </c>
      <c r="E162" s="160" t="s">
        <v>131</v>
      </c>
      <c r="F162" s="273">
        <f>87401515.1515/1000</f>
        <v>87401.515151500003</v>
      </c>
      <c r="G162" s="102" t="s">
        <v>131</v>
      </c>
      <c r="H162" s="111" t="s">
        <v>131</v>
      </c>
      <c r="I162" s="278" t="s">
        <v>131</v>
      </c>
    </row>
    <row r="163" spans="1:45" s="179" customFormat="1" ht="15" customHeight="1" x14ac:dyDescent="0.25">
      <c r="A163" s="77"/>
      <c r="B163" s="107" t="s">
        <v>6</v>
      </c>
      <c r="C163" s="106">
        <f>6935000000/1000</f>
        <v>6935000</v>
      </c>
      <c r="D163" s="163">
        <f>489795486644.151/1000</f>
        <v>489795486.64415097</v>
      </c>
      <c r="E163" s="164">
        <f>226068652133.866/1000</f>
        <v>226068652.13386601</v>
      </c>
      <c r="F163" s="269">
        <f>6701000000/1000</f>
        <v>6701000</v>
      </c>
      <c r="G163" s="103">
        <v>1.4158970813543765</v>
      </c>
      <c r="H163" s="110">
        <v>3.0680000000000001</v>
      </c>
      <c r="I163" s="277">
        <f t="shared" si="2"/>
        <v>103.49201611699745</v>
      </c>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row>
    <row r="164" spans="1:45" ht="15" customHeight="1" x14ac:dyDescent="0.25">
      <c r="B164" s="108" t="s">
        <v>201</v>
      </c>
      <c r="C164" s="105" t="s">
        <v>131</v>
      </c>
      <c r="D164" s="158">
        <f>101495811266/1000</f>
        <v>101495811.266</v>
      </c>
      <c r="E164" s="160" t="s">
        <v>131</v>
      </c>
      <c r="F164" s="274" t="s">
        <v>131</v>
      </c>
      <c r="G164" s="102" t="s">
        <v>131</v>
      </c>
      <c r="H164" s="111" t="s">
        <v>131</v>
      </c>
      <c r="I164" s="278" t="s">
        <v>131</v>
      </c>
    </row>
    <row r="165" spans="1:45" s="179" customFormat="1" ht="15" customHeight="1" x14ac:dyDescent="0.25">
      <c r="A165" s="77"/>
      <c r="B165" s="284" t="s">
        <v>117</v>
      </c>
      <c r="C165" s="285">
        <f>3903787521.06665/1000</f>
        <v>3903787.5210666498</v>
      </c>
      <c r="D165" s="286">
        <f>212137607606.321/1000</f>
        <v>212137607.60632101</v>
      </c>
      <c r="E165" s="287">
        <f>82079018373.3779/1000</f>
        <v>82079018.373377904</v>
      </c>
      <c r="F165" s="288">
        <f>13377449645.556/1000</f>
        <v>13377449.645555999</v>
      </c>
      <c r="G165" s="289">
        <v>1.8402147384970893</v>
      </c>
      <c r="H165" s="289">
        <v>4.7560000000000002</v>
      </c>
      <c r="I165" s="290">
        <f t="shared" si="2"/>
        <v>29.181851731832094</v>
      </c>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c r="AS165" s="77"/>
    </row>
    <row r="166" spans="1:45" ht="15" customHeight="1" x14ac:dyDescent="0.25">
      <c r="B166" s="108" t="s">
        <v>118</v>
      </c>
      <c r="C166" s="105">
        <f>803296703.296703/1000</f>
        <v>803296.70329670294</v>
      </c>
      <c r="D166" s="158">
        <f>192390104345.46/1000</f>
        <v>192390104.34546</v>
      </c>
      <c r="E166" s="159">
        <f>143640105750.427/1000</f>
        <v>143640105.75042701</v>
      </c>
      <c r="F166" s="273">
        <f>326923076.923077/1000</f>
        <v>326923.07692307699</v>
      </c>
      <c r="G166" s="102">
        <v>0.41753535402958336</v>
      </c>
      <c r="H166" s="111">
        <v>0.55900000000000005</v>
      </c>
      <c r="I166" s="278">
        <f t="shared" si="2"/>
        <v>245.71428571428555</v>
      </c>
    </row>
    <row r="167" spans="1:45" s="179" customFormat="1" ht="15" customHeight="1" x14ac:dyDescent="0.25">
      <c r="A167" s="77"/>
      <c r="B167" s="107" t="s">
        <v>171</v>
      </c>
      <c r="C167" s="106">
        <f>1213552387.17988/1000</f>
        <v>1213552.3871798799</v>
      </c>
      <c r="D167" s="163">
        <f>40697163224.2519/1000</f>
        <v>40697163.224251896</v>
      </c>
      <c r="E167" s="164">
        <f>11109906831.1689/1000</f>
        <v>11109906.831168899</v>
      </c>
      <c r="F167" s="269">
        <f>258607630.292053/1000</f>
        <v>258607.63029205301</v>
      </c>
      <c r="G167" s="103">
        <v>2.98190903501773</v>
      </c>
      <c r="H167" s="110">
        <v>10.923</v>
      </c>
      <c r="I167" s="277">
        <f t="shared" si="2"/>
        <v>469.26395242452071</v>
      </c>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row>
    <row r="168" spans="1:45" ht="15" customHeight="1" x14ac:dyDescent="0.25">
      <c r="B168" s="108" t="s">
        <v>174</v>
      </c>
      <c r="C168" s="105">
        <f>2031374213.382/1000</f>
        <v>2031374.2133819999</v>
      </c>
      <c r="D168" s="158">
        <f>6474843799.06064/1000</f>
        <v>6474843.7990606399</v>
      </c>
      <c r="E168" s="159">
        <f>3202479879.80446/1000</f>
        <v>3202479.8798044599</v>
      </c>
      <c r="F168" s="273">
        <f>372186100/1000</f>
        <v>372186.1</v>
      </c>
      <c r="G168" s="102">
        <v>31.373331564797091</v>
      </c>
      <c r="H168" s="111">
        <v>63.430999999999997</v>
      </c>
      <c r="I168" s="278">
        <f t="shared" si="2"/>
        <v>545.79529256519788</v>
      </c>
    </row>
    <row r="169" spans="1:45" s="179" customFormat="1" ht="15" customHeight="1" x14ac:dyDescent="0.25">
      <c r="A169" s="77"/>
      <c r="B169" s="156" t="s">
        <v>7</v>
      </c>
      <c r="C169" s="106">
        <f>1775893402.03711/1000</f>
        <v>1775893.4020371102</v>
      </c>
      <c r="D169" s="163">
        <f>2475781990521.33/1000</f>
        <v>2475781990.5213299</v>
      </c>
      <c r="E169" s="164">
        <f>780881516587.678/1000</f>
        <v>780881516.58767796</v>
      </c>
      <c r="F169" s="269">
        <f>56135851250.8145/1000</f>
        <v>56135851.250814497</v>
      </c>
      <c r="G169" s="103">
        <v>7.1730605070891518E-2</v>
      </c>
      <c r="H169" s="110">
        <v>0.22700000000000001</v>
      </c>
      <c r="I169" s="277">
        <f t="shared" si="2"/>
        <v>3.1635636807259475</v>
      </c>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row>
    <row r="170" spans="1:45" ht="15" customHeight="1" x14ac:dyDescent="0.25">
      <c r="B170" s="108" t="s">
        <v>146</v>
      </c>
      <c r="C170" s="105" t="s">
        <v>131</v>
      </c>
      <c r="D170" s="158">
        <f>2184181390.99191/1000</f>
        <v>2184181.3909919099</v>
      </c>
      <c r="E170" s="159">
        <f>252752480.574857/1000</f>
        <v>252752.48057485701</v>
      </c>
      <c r="F170" s="273">
        <f>71176400/1000</f>
        <v>71176.399999999994</v>
      </c>
      <c r="G170" s="102" t="s">
        <v>131</v>
      </c>
      <c r="H170" s="111" t="s">
        <v>131</v>
      </c>
      <c r="I170" s="278" t="s">
        <v>131</v>
      </c>
    </row>
    <row r="171" spans="1:45" s="179" customFormat="1" ht="15" customHeight="1" x14ac:dyDescent="0.25">
      <c r="A171" s="77"/>
      <c r="B171" s="107" t="s">
        <v>8</v>
      </c>
      <c r="C171" s="106">
        <f>2026213943.89848/1000</f>
        <v>2026213.9438984799</v>
      </c>
      <c r="D171" s="163">
        <f>196446226535.564/1000</f>
        <v>196446226.53556401</v>
      </c>
      <c r="E171" s="164">
        <f>153284689056.315/1000</f>
        <v>153284689.056315</v>
      </c>
      <c r="F171" s="269">
        <f>10580770659.3908/1000</f>
        <v>10580770.6593908</v>
      </c>
      <c r="G171" s="103">
        <v>1.0314343928269158</v>
      </c>
      <c r="H171" s="110">
        <v>1.3220000000000001</v>
      </c>
      <c r="I171" s="277">
        <f t="shared" si="2"/>
        <v>19.149965622779519</v>
      </c>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row>
    <row r="172" spans="1:45" ht="15" customHeight="1" x14ac:dyDescent="0.25">
      <c r="B172" s="108" t="s">
        <v>154</v>
      </c>
      <c r="C172" s="105">
        <f>3615200000/1000</f>
        <v>3615200</v>
      </c>
      <c r="D172" s="158">
        <f>59047202157.8071/1000</f>
        <v>59047202.157807097</v>
      </c>
      <c r="E172" s="159">
        <f>192296296.296296/1000</f>
        <v>192296.296296296</v>
      </c>
      <c r="F172" s="273">
        <f>3857100000/1000</f>
        <v>3857100</v>
      </c>
      <c r="G172" s="102">
        <v>6.1225593557137001</v>
      </c>
      <c r="H172" s="111">
        <v>24.613</v>
      </c>
      <c r="I172" s="278">
        <f t="shared" si="2"/>
        <v>93.728448834616685</v>
      </c>
    </row>
    <row r="173" spans="1:45" s="179" customFormat="1" ht="15" customHeight="1" x14ac:dyDescent="0.25">
      <c r="A173" s="77"/>
      <c r="B173" s="107" t="s">
        <v>53</v>
      </c>
      <c r="C173" s="106">
        <f>3674000000/1000</f>
        <v>3674000</v>
      </c>
      <c r="D173" s="163">
        <f>169396055590.796/1000</f>
        <v>169396055.59079599</v>
      </c>
      <c r="E173" s="164">
        <f>67751254252.9266/1000</f>
        <v>67751254.252926603</v>
      </c>
      <c r="F173" s="269">
        <f>2024000000/1000</f>
        <v>2024000</v>
      </c>
      <c r="G173" s="103">
        <v>2.1688816703472376</v>
      </c>
      <c r="H173" s="110">
        <v>5.423</v>
      </c>
      <c r="I173" s="277">
        <f t="shared" si="2"/>
        <v>181.52173913043478</v>
      </c>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row>
    <row r="174" spans="1:45" ht="15" customHeight="1" x14ac:dyDescent="0.25">
      <c r="B174" s="108" t="s">
        <v>202</v>
      </c>
      <c r="C174" s="105">
        <f>182405277.287595/1000</f>
        <v>182405.277287595</v>
      </c>
      <c r="D174" s="158">
        <f>7103000861.20669/1000</f>
        <v>7103000.8612066898</v>
      </c>
      <c r="E174" s="159">
        <f>935332156.058298/1000</f>
        <v>935332.15605829796</v>
      </c>
      <c r="F174" s="273">
        <f>159814904.836066/1000</f>
        <v>159814.90483606601</v>
      </c>
      <c r="G174" s="102">
        <v>2.5680030293084779</v>
      </c>
      <c r="H174" s="111">
        <v>19.501999999999999</v>
      </c>
      <c r="I174" s="278">
        <f t="shared" si="2"/>
        <v>114.13533517083505</v>
      </c>
    </row>
    <row r="175" spans="1:45" s="179" customFormat="1" ht="15" customHeight="1" x14ac:dyDescent="0.25">
      <c r="A175" s="77"/>
      <c r="B175" s="107" t="s">
        <v>54</v>
      </c>
      <c r="C175" s="106">
        <f>5787700000/1000</f>
        <v>5787700</v>
      </c>
      <c r="D175" s="163">
        <f>2014774938341.85/1000</f>
        <v>2014774938.34185</v>
      </c>
      <c r="E175" s="164">
        <f>593112327003.54/1000</f>
        <v>593112327.00354004</v>
      </c>
      <c r="F175" s="269">
        <f>50661000000/1000</f>
        <v>50661000</v>
      </c>
      <c r="G175" s="103">
        <v>0.28726285451829453</v>
      </c>
      <c r="H175" s="110">
        <v>0.97599999999999998</v>
      </c>
      <c r="I175" s="277">
        <f t="shared" si="2"/>
        <v>11.424369830836344</v>
      </c>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row>
    <row r="176" spans="1:45" ht="15" customHeight="1" x14ac:dyDescent="0.25">
      <c r="B176" s="108" t="s">
        <v>119</v>
      </c>
      <c r="C176" s="105">
        <f>158816379.054234/1000</f>
        <v>158816.37905423398</v>
      </c>
      <c r="D176" s="158">
        <f>683719606.266704/1000</f>
        <v>683719.60626670392</v>
      </c>
      <c r="E176" s="159">
        <f>219425914.256535/1000</f>
        <v>219425.914256535</v>
      </c>
      <c r="F176" s="273">
        <f>23507733.5871189/1000</f>
        <v>23507.733587118903</v>
      </c>
      <c r="G176" s="102">
        <v>23.228290895651622</v>
      </c>
      <c r="H176" s="111">
        <v>72.378</v>
      </c>
      <c r="I176" s="278">
        <f t="shared" si="2"/>
        <v>675.59204916826877</v>
      </c>
    </row>
    <row r="177" spans="1:45" s="179" customFormat="1" ht="15" customHeight="1" x14ac:dyDescent="0.25">
      <c r="A177" s="77"/>
      <c r="B177" s="107" t="s">
        <v>211</v>
      </c>
      <c r="C177" s="106">
        <f>29827211.4814815/1000</f>
        <v>29827.2114814815</v>
      </c>
      <c r="D177" s="163">
        <f>1238640740.74074/1000</f>
        <v>1238640.74074074</v>
      </c>
      <c r="E177" s="164">
        <f>588737037.037037/1000</f>
        <v>588737.03703703696</v>
      </c>
      <c r="F177" s="269">
        <f>109421100.740741/1000</f>
        <v>109421.10074074099</v>
      </c>
      <c r="G177" s="103">
        <v>2.4080599402570932</v>
      </c>
      <c r="H177" s="110">
        <v>5.0659999999999998</v>
      </c>
      <c r="I177" s="277">
        <f t="shared" si="2"/>
        <v>27.259103847029635</v>
      </c>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row>
    <row r="178" spans="1:45" ht="15" customHeight="1" x14ac:dyDescent="0.25">
      <c r="B178" s="326" t="s">
        <v>303</v>
      </c>
      <c r="C178" s="105">
        <f>45130953.7037037/1000</f>
        <v>45130.953703703701</v>
      </c>
      <c r="D178" s="158">
        <f>767000000/1000</f>
        <v>767000</v>
      </c>
      <c r="E178" s="159">
        <f>250685185.185185/1000</f>
        <v>250685.18518518499</v>
      </c>
      <c r="F178" s="273">
        <f>100443035.555556/1000</f>
        <v>100443.03555555599</v>
      </c>
      <c r="G178" s="102">
        <v>5.8840878362064801</v>
      </c>
      <c r="H178" s="111">
        <v>18.003</v>
      </c>
      <c r="I178" s="278">
        <f t="shared" si="2"/>
        <v>44.931889457623313</v>
      </c>
    </row>
    <row r="179" spans="1:45" s="179" customFormat="1" ht="15" customHeight="1" x14ac:dyDescent="0.25">
      <c r="A179" s="77"/>
      <c r="B179" s="107" t="s">
        <v>203</v>
      </c>
      <c r="C179" s="106" t="s">
        <v>131</v>
      </c>
      <c r="D179" s="155" t="s">
        <v>131</v>
      </c>
      <c r="E179" s="155" t="s">
        <v>131</v>
      </c>
      <c r="F179" s="271" t="s">
        <v>131</v>
      </c>
      <c r="G179" s="103" t="s">
        <v>131</v>
      </c>
      <c r="H179" s="110" t="s">
        <v>131</v>
      </c>
      <c r="I179" s="277" t="s">
        <v>131</v>
      </c>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c r="AS179" s="77"/>
    </row>
    <row r="180" spans="1:45" ht="15" customHeight="1" x14ac:dyDescent="0.25">
      <c r="B180" s="157" t="s">
        <v>239</v>
      </c>
      <c r="C180" s="105" t="s">
        <v>131</v>
      </c>
      <c r="D180" s="160" t="s">
        <v>131</v>
      </c>
      <c r="E180" s="160" t="s">
        <v>131</v>
      </c>
      <c r="F180" s="274" t="s">
        <v>131</v>
      </c>
      <c r="G180" s="102" t="s">
        <v>131</v>
      </c>
      <c r="H180" s="111" t="s">
        <v>131</v>
      </c>
      <c r="I180" s="278" t="s">
        <v>131</v>
      </c>
    </row>
    <row r="181" spans="1:45" s="179" customFormat="1" ht="15" customHeight="1" x14ac:dyDescent="0.25">
      <c r="A181" s="77"/>
      <c r="B181" s="156" t="s">
        <v>238</v>
      </c>
      <c r="C181" s="106">
        <f>12525139.6648045/1000</f>
        <v>12525.139664804499</v>
      </c>
      <c r="D181" s="155" t="s">
        <v>131</v>
      </c>
      <c r="E181" s="155" t="s">
        <v>131</v>
      </c>
      <c r="F181" s="269">
        <f>13508379.8882682/1000</f>
        <v>13508.3798882682</v>
      </c>
      <c r="G181" s="103" t="s">
        <v>131</v>
      </c>
      <c r="H181" s="110" t="s">
        <v>131</v>
      </c>
      <c r="I181" s="277">
        <f t="shared" si="2"/>
        <v>92.721257237386183</v>
      </c>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c r="AQ181" s="77"/>
      <c r="AR181" s="77"/>
      <c r="AS181" s="77"/>
    </row>
    <row r="182" spans="1:45" ht="15" customHeight="1" x14ac:dyDescent="0.25">
      <c r="B182" s="326" t="s">
        <v>55</v>
      </c>
      <c r="C182" s="105">
        <f>6358889.79036748/1000</f>
        <v>6358.8897903674806</v>
      </c>
      <c r="D182" s="158">
        <f>263398378.000848/1000</f>
        <v>263398.378000848</v>
      </c>
      <c r="E182" s="159">
        <f>29551400.0809889/1000</f>
        <v>29551.4000809889</v>
      </c>
      <c r="F182" s="273">
        <f>22471527.027027/1000</f>
        <v>22471.527027027001</v>
      </c>
      <c r="G182" s="102">
        <v>2.414171962117023</v>
      </c>
      <c r="H182" s="111">
        <v>21.518000000000001</v>
      </c>
      <c r="I182" s="278">
        <f t="shared" si="2"/>
        <v>28.29754196374596</v>
      </c>
    </row>
    <row r="183" spans="1:45" s="179" customFormat="1" ht="15" customHeight="1" x14ac:dyDescent="0.25">
      <c r="A183" s="77"/>
      <c r="B183" s="327" t="s">
        <v>304</v>
      </c>
      <c r="C183" s="106">
        <f>29662940.7407408/1000</f>
        <v>29662.9407407408</v>
      </c>
      <c r="D183" s="163">
        <f>712588888.888889/1000</f>
        <v>712588.88888888899</v>
      </c>
      <c r="E183" s="155" t="s">
        <v>131</v>
      </c>
      <c r="F183" s="269">
        <f>125325930.740741/1000</f>
        <v>125325.93074074099</v>
      </c>
      <c r="G183" s="103">
        <v>4.1627004298359225</v>
      </c>
      <c r="H183" s="110">
        <v>15.46</v>
      </c>
      <c r="I183" s="277">
        <f t="shared" si="2"/>
        <v>23.668637899130289</v>
      </c>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c r="AS183" s="77"/>
    </row>
    <row r="184" spans="1:45" ht="15" customHeight="1" x14ac:dyDescent="0.25">
      <c r="B184" s="108" t="s">
        <v>120</v>
      </c>
      <c r="C184" s="105" t="s">
        <v>131</v>
      </c>
      <c r="D184" s="158">
        <f>14045759802.382/1000</f>
        <v>14045759.802382</v>
      </c>
      <c r="E184" s="159">
        <f>3411728723.44555/1000</f>
        <v>3411728.7234455501</v>
      </c>
      <c r="F184" s="273">
        <f>337669579.3127/1000</f>
        <v>337669.57931269996</v>
      </c>
      <c r="G184" s="102" t="s">
        <v>131</v>
      </c>
      <c r="H184" s="111" t="s">
        <v>131</v>
      </c>
      <c r="I184" s="278" t="s">
        <v>131</v>
      </c>
    </row>
    <row r="185" spans="1:45" s="179" customFormat="1" ht="15" customHeight="1" x14ac:dyDescent="0.25">
      <c r="A185" s="77"/>
      <c r="B185" s="107" t="s">
        <v>205</v>
      </c>
      <c r="C185" s="106">
        <f>60988977.7350209/1000</f>
        <v>60988.977735020897</v>
      </c>
      <c r="D185" s="163">
        <f>3796030045.13767/1000</f>
        <v>3796030.0451376699</v>
      </c>
      <c r="E185" s="155" t="s">
        <v>131</v>
      </c>
      <c r="F185" s="269">
        <f>548073514.91861/1000</f>
        <v>548073.51491860999</v>
      </c>
      <c r="G185" s="103">
        <v>1.6066516073322854</v>
      </c>
      <c r="H185" s="110" t="s">
        <v>131</v>
      </c>
      <c r="I185" s="277">
        <f t="shared" si="2"/>
        <v>11.127882679037663</v>
      </c>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c r="AQ185" s="77"/>
      <c r="AR185" s="77"/>
      <c r="AS185" s="77"/>
    </row>
    <row r="186" spans="1:45" ht="15" customHeight="1" x14ac:dyDescent="0.25">
      <c r="B186" s="108" t="s">
        <v>204</v>
      </c>
      <c r="C186" s="105">
        <f>2763194774.34582/1000</f>
        <v>2763194.7743458198</v>
      </c>
      <c r="D186" s="158">
        <f>37488935009.7878/1000</f>
        <v>37488935.009787805</v>
      </c>
      <c r="E186" s="160" t="s">
        <v>131</v>
      </c>
      <c r="F186" s="273">
        <f>355286701.720243/1000</f>
        <v>355286.70172024297</v>
      </c>
      <c r="G186" s="102">
        <v>7.3706942425128625</v>
      </c>
      <c r="H186" s="111" t="s">
        <v>131</v>
      </c>
      <c r="I186" s="278">
        <f t="shared" si="2"/>
        <v>777.73661692567168</v>
      </c>
    </row>
    <row r="187" spans="1:45" s="179" customFormat="1" ht="15" customHeight="1" x14ac:dyDescent="0.25">
      <c r="A187" s="77"/>
      <c r="B187" s="107" t="s">
        <v>121</v>
      </c>
      <c r="C187" s="106">
        <f>1290522.46747573/1000</f>
        <v>1290.5224674757301</v>
      </c>
      <c r="D187" s="163">
        <f>1128753720.62939/1000</f>
        <v>1128753.7206293901</v>
      </c>
      <c r="E187" s="155" t="s">
        <v>131</v>
      </c>
      <c r="F187" s="269">
        <f>11595246.3447989/1000</f>
        <v>11595.246344798899</v>
      </c>
      <c r="G187" s="103">
        <v>0.11433162468391554</v>
      </c>
      <c r="H187" s="110" t="s">
        <v>131</v>
      </c>
      <c r="I187" s="277">
        <f t="shared" si="2"/>
        <v>11.12975463479135</v>
      </c>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c r="AS187" s="77"/>
    </row>
    <row r="188" spans="1:45" ht="15" customHeight="1" x14ac:dyDescent="0.25">
      <c r="B188" s="108" t="s">
        <v>206</v>
      </c>
      <c r="C188" s="105" t="s">
        <v>131</v>
      </c>
      <c r="D188" s="158">
        <f>276520028928.976/1000</f>
        <v>276520028.928976</v>
      </c>
      <c r="E188" s="159">
        <f>554858208826.392/1000</f>
        <v>554858208.82639194</v>
      </c>
      <c r="F188" s="273">
        <f>56651074726.5423/1000</f>
        <v>56651074.726542294</v>
      </c>
      <c r="G188" s="102" t="s">
        <v>131</v>
      </c>
      <c r="H188" s="111" t="s">
        <v>131</v>
      </c>
      <c r="I188" s="278" t="s">
        <v>131</v>
      </c>
    </row>
    <row r="189" spans="1:45" s="179" customFormat="1" ht="15" customHeight="1" x14ac:dyDescent="0.25">
      <c r="A189" s="77"/>
      <c r="B189" s="107" t="s">
        <v>213</v>
      </c>
      <c r="C189" s="106" t="s">
        <v>131</v>
      </c>
      <c r="D189" s="155" t="s">
        <v>131</v>
      </c>
      <c r="E189" s="155" t="s">
        <v>131</v>
      </c>
      <c r="F189" s="271" t="s">
        <v>131</v>
      </c>
      <c r="G189" s="103" t="s">
        <v>131</v>
      </c>
      <c r="H189" s="110" t="s">
        <v>131</v>
      </c>
      <c r="I189" s="277" t="s">
        <v>131</v>
      </c>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row>
    <row r="190" spans="1:45" ht="15" customHeight="1" x14ac:dyDescent="0.25">
      <c r="B190" s="108" t="s">
        <v>208</v>
      </c>
      <c r="C190" s="105" t="s">
        <v>131</v>
      </c>
      <c r="D190" s="160" t="s">
        <v>131</v>
      </c>
      <c r="E190" s="160" t="s">
        <v>131</v>
      </c>
      <c r="F190" s="273">
        <f>107330000/1000</f>
        <v>107330</v>
      </c>
      <c r="G190" s="102" t="s">
        <v>131</v>
      </c>
      <c r="H190" s="111" t="s">
        <v>131</v>
      </c>
      <c r="I190" s="278" t="s">
        <v>131</v>
      </c>
    </row>
    <row r="191" spans="1:45" s="179" customFormat="1" ht="15" customHeight="1" x14ac:dyDescent="0.25">
      <c r="A191" s="77"/>
      <c r="B191" s="107" t="s">
        <v>122</v>
      </c>
      <c r="C191" s="106">
        <f>5999552324.37494/1000</f>
        <v>5999552.3243749402</v>
      </c>
      <c r="D191" s="163">
        <f>59423009404.3887/1000</f>
        <v>59423009.404388703</v>
      </c>
      <c r="E191" s="164">
        <f>13550415360.5016/1000</f>
        <v>13550415.3605016</v>
      </c>
      <c r="F191" s="275">
        <f>897893568.823115/1000</f>
        <v>897893.56882311497</v>
      </c>
      <c r="G191" s="103">
        <v>10.096345480496382</v>
      </c>
      <c r="H191" s="110">
        <v>44.276000000000003</v>
      </c>
      <c r="I191" s="277">
        <f t="shared" si="2"/>
        <v>668.1807880903591</v>
      </c>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AR191" s="77"/>
      <c r="AS191" s="77"/>
    </row>
    <row r="192" spans="1:45" ht="15" customHeight="1" x14ac:dyDescent="0.25">
      <c r="B192" s="108" t="s">
        <v>212</v>
      </c>
      <c r="C192" s="105">
        <f>31315588.6086111/1000</f>
        <v>31315.588608611099</v>
      </c>
      <c r="D192" s="158">
        <f>3744472287.07088/1000</f>
        <v>3744472.2870708797</v>
      </c>
      <c r="E192" s="160" t="s">
        <v>131</v>
      </c>
      <c r="F192" s="273">
        <f>89720196.6904043/1000</f>
        <v>89720.196690404293</v>
      </c>
      <c r="G192" s="102">
        <v>0.83631513889792453</v>
      </c>
      <c r="H192" s="111" t="s">
        <v>131</v>
      </c>
      <c r="I192" s="278">
        <f t="shared" si="2"/>
        <v>34.903611186532707</v>
      </c>
    </row>
    <row r="193" spans="1:45" s="179" customFormat="1" ht="15" customHeight="1" x14ac:dyDescent="0.25">
      <c r="A193" s="77"/>
      <c r="B193" s="107" t="s">
        <v>209</v>
      </c>
      <c r="C193" s="106">
        <f>401482586.702655/1000</f>
        <v>401482.58670265501</v>
      </c>
      <c r="D193" s="163">
        <f>58768800832.7859/1000</f>
        <v>58768800.832785897</v>
      </c>
      <c r="E193" s="164">
        <f>3675584424.67144/1000</f>
        <v>3675584.4246714399</v>
      </c>
      <c r="F193" s="269">
        <f>2487568923.75953/1000</f>
        <v>2487568.9237595303</v>
      </c>
      <c r="G193" s="103">
        <v>0.68315599606156396</v>
      </c>
      <c r="H193" s="110">
        <v>10.923</v>
      </c>
      <c r="I193" s="277">
        <f t="shared" si="2"/>
        <v>16.139556289997525</v>
      </c>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c r="AN193" s="77"/>
      <c r="AO193" s="77"/>
      <c r="AP193" s="77"/>
      <c r="AQ193" s="77"/>
      <c r="AR193" s="77"/>
      <c r="AS193" s="77"/>
    </row>
    <row r="194" spans="1:45" ht="15" customHeight="1" x14ac:dyDescent="0.25">
      <c r="B194" s="108" t="s">
        <v>210</v>
      </c>
      <c r="C194" s="105" t="s">
        <v>131</v>
      </c>
      <c r="D194" s="158">
        <f>10220256856.5217/1000</f>
        <v>10220256.8565217</v>
      </c>
      <c r="E194" s="159">
        <f>1047417684.00211/1000</f>
        <v>1047417.68400211</v>
      </c>
      <c r="F194" s="274" t="s">
        <v>131</v>
      </c>
      <c r="G194" s="102" t="s">
        <v>131</v>
      </c>
      <c r="H194" s="111" t="s">
        <v>131</v>
      </c>
      <c r="I194" s="278" t="s">
        <v>131</v>
      </c>
    </row>
    <row r="195" spans="1:45" s="179" customFormat="1" ht="15" customHeight="1" x14ac:dyDescent="0.25">
      <c r="A195" s="77"/>
      <c r="B195" s="107" t="s">
        <v>56</v>
      </c>
      <c r="C195" s="106">
        <f>812355589.112803/1000</f>
        <v>812355.58911280299</v>
      </c>
      <c r="D195" s="163">
        <f>523942287822.878/1000</f>
        <v>523942287.822878</v>
      </c>
      <c r="E195" s="164">
        <f>254230110701.107/1000</f>
        <v>254230110.701107</v>
      </c>
      <c r="F195" s="269">
        <f>4039290161.11122/1000</f>
        <v>4039290.1611112198</v>
      </c>
      <c r="G195" s="103">
        <v>0.1550467690799229</v>
      </c>
      <c r="H195" s="110">
        <v>0.32</v>
      </c>
      <c r="I195" s="277">
        <f t="shared" si="2"/>
        <v>20.111345229264781</v>
      </c>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c r="AN195" s="77"/>
      <c r="AO195" s="77"/>
      <c r="AP195" s="77"/>
      <c r="AQ195" s="77"/>
      <c r="AR195" s="77"/>
      <c r="AS195" s="77"/>
    </row>
    <row r="196" spans="1:45" ht="15" customHeight="1" x14ac:dyDescent="0.25">
      <c r="B196" s="108" t="s">
        <v>57</v>
      </c>
      <c r="C196" s="105">
        <f>3039239318.13301/1000</f>
        <v>3039239.3181330101</v>
      </c>
      <c r="D196" s="158">
        <f>631173029581.956/1000</f>
        <v>631173029.58195603</v>
      </c>
      <c r="E196" s="159">
        <f>330093634600.619/1000</f>
        <v>330093634.60061902</v>
      </c>
      <c r="F196" s="273">
        <f>2747598577.26532/1000</f>
        <v>2747598.5772653199</v>
      </c>
      <c r="G196" s="102">
        <v>0.48152236798615844</v>
      </c>
      <c r="H196" s="111">
        <v>0.92100000000000004</v>
      </c>
      <c r="I196" s="278">
        <f t="shared" si="2"/>
        <v>110.61438680602171</v>
      </c>
    </row>
    <row r="197" spans="1:45" s="179" customFormat="1" ht="15" customHeight="1" x14ac:dyDescent="0.25">
      <c r="A197" s="77"/>
      <c r="B197" s="107" t="s">
        <v>123</v>
      </c>
      <c r="C197" s="106">
        <f>8057490.75/1000</f>
        <v>8057.4907499999999</v>
      </c>
      <c r="D197" s="163">
        <f>5012121214.24757/1000</f>
        <v>5012121.2142475704</v>
      </c>
      <c r="E197" s="155" t="s">
        <v>131</v>
      </c>
      <c r="F197" s="269">
        <f>65862819.65/1000</f>
        <v>65862.819650000005</v>
      </c>
      <c r="G197" s="103">
        <v>0.16076009349286285</v>
      </c>
      <c r="H197" s="110" t="s">
        <v>131</v>
      </c>
      <c r="I197" s="277">
        <f t="shared" si="2"/>
        <v>12.233747040922502</v>
      </c>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c r="AQ197" s="77"/>
      <c r="AR197" s="77"/>
      <c r="AS197" s="77"/>
    </row>
    <row r="198" spans="1:45" ht="15" customHeight="1" x14ac:dyDescent="0.25">
      <c r="B198" s="108" t="s">
        <v>216</v>
      </c>
      <c r="C198" s="105">
        <f>4713380624.00981/1000</f>
        <v>4713380.6240098104</v>
      </c>
      <c r="D198" s="158">
        <f>365965815820.015/1000</f>
        <v>365965815.82001501</v>
      </c>
      <c r="E198" s="159">
        <f>274400374694.602/1000</f>
        <v>274400374.69460201</v>
      </c>
      <c r="F198" s="273">
        <f>10689324361.3839/1000</f>
        <v>10689324.3613839</v>
      </c>
      <c r="G198" s="102">
        <v>1.2879292054774549</v>
      </c>
      <c r="H198" s="111">
        <v>1.718</v>
      </c>
      <c r="I198" s="278">
        <f t="shared" si="2"/>
        <v>44.094280093485629</v>
      </c>
    </row>
    <row r="199" spans="1:45" s="179" customFormat="1" ht="15" customHeight="1" x14ac:dyDescent="0.25">
      <c r="A199" s="77"/>
      <c r="B199" s="107" t="s">
        <v>214</v>
      </c>
      <c r="C199" s="106">
        <f>3625512075/1000</f>
        <v>3625512.0750000002</v>
      </c>
      <c r="D199" s="163">
        <f>7632614221.01051/1000</f>
        <v>7632614.2210105108</v>
      </c>
      <c r="E199" s="164">
        <f>1391334947.39498/1000</f>
        <v>1391334.9473949799</v>
      </c>
      <c r="F199" s="269">
        <f>198280200/1000</f>
        <v>198280.2</v>
      </c>
      <c r="G199" s="103">
        <v>47.500266226215778</v>
      </c>
      <c r="H199" s="110">
        <v>260.57799999999997</v>
      </c>
      <c r="I199" s="277">
        <f t="shared" ref="I199:I217" si="3">(C199/F199)*100</f>
        <v>1828.4791295348705</v>
      </c>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c r="AQ199" s="77"/>
      <c r="AR199" s="77"/>
      <c r="AS199" s="77"/>
    </row>
    <row r="200" spans="1:45" ht="15" customHeight="1" x14ac:dyDescent="0.25">
      <c r="B200" s="108" t="s">
        <v>215</v>
      </c>
      <c r="C200" s="105">
        <f>67383205.336341/1000</f>
        <v>67383.205336340994</v>
      </c>
      <c r="D200" s="158">
        <f>28242425168.1058/1000</f>
        <v>28242425.1681058</v>
      </c>
      <c r="E200" s="159">
        <f>8347249846.85451/1000</f>
        <v>8347249.8468545107</v>
      </c>
      <c r="F200" s="273">
        <f>1706946137.43447/1000</f>
        <v>1706946.13743447</v>
      </c>
      <c r="G200" s="102">
        <v>0.23858859476571065</v>
      </c>
      <c r="H200" s="111">
        <v>0.80700000000000005</v>
      </c>
      <c r="I200" s="278">
        <f t="shared" si="3"/>
        <v>3.9475882606124619</v>
      </c>
    </row>
    <row r="201" spans="1:45" s="179" customFormat="1" ht="15" customHeight="1" x14ac:dyDescent="0.25">
      <c r="A201" s="77"/>
      <c r="B201" s="107" t="s">
        <v>124</v>
      </c>
      <c r="C201" s="106">
        <f>113693583.78/1000</f>
        <v>113693.58378</v>
      </c>
      <c r="D201" s="163">
        <f>1293000000/1000</f>
        <v>1293000</v>
      </c>
      <c r="E201" s="155" t="s">
        <v>131</v>
      </c>
      <c r="F201" s="269">
        <f>18901282.63/1000</f>
        <v>18901.282629999998</v>
      </c>
      <c r="G201" s="103">
        <v>8.7930072529002334</v>
      </c>
      <c r="H201" s="110" t="s">
        <v>131</v>
      </c>
      <c r="I201" s="277">
        <f t="shared" si="3"/>
        <v>601.5125322741128</v>
      </c>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c r="AN201" s="77"/>
      <c r="AO201" s="77"/>
      <c r="AP201" s="77"/>
      <c r="AQ201" s="77"/>
      <c r="AR201" s="77"/>
      <c r="AS201" s="77"/>
    </row>
    <row r="202" spans="1:45" ht="15" customHeight="1" x14ac:dyDescent="0.25">
      <c r="B202" s="108" t="s">
        <v>125</v>
      </c>
      <c r="C202" s="105" t="s">
        <v>131</v>
      </c>
      <c r="D202" s="158">
        <f>3813834650.19521/1000</f>
        <v>3813834.6501952098</v>
      </c>
      <c r="E202" s="160" t="s">
        <v>131</v>
      </c>
      <c r="F202" s="273">
        <f>166324169.3577/1000</f>
        <v>166324.16935769998</v>
      </c>
      <c r="G202" s="102" t="s">
        <v>131</v>
      </c>
      <c r="H202" s="111" t="s">
        <v>131</v>
      </c>
      <c r="I202" s="278" t="s">
        <v>131</v>
      </c>
    </row>
    <row r="203" spans="1:45" s="179" customFormat="1" ht="15" customHeight="1" x14ac:dyDescent="0.25">
      <c r="A203" s="77"/>
      <c r="B203" s="107" t="s">
        <v>126</v>
      </c>
      <c r="C203" s="106">
        <f>59567516.0459718/1000</f>
        <v>59567.516045971803</v>
      </c>
      <c r="D203" s="163">
        <f>471575497.307237/1000</f>
        <v>471575.497307237</v>
      </c>
      <c r="E203" s="164">
        <f>84005891.7517258/1000</f>
        <v>84005.891751725794</v>
      </c>
      <c r="F203" s="269">
        <f>8090721.5834291/1000</f>
        <v>8090.7215834291001</v>
      </c>
      <c r="G203" s="103">
        <v>12.63159693116177</v>
      </c>
      <c r="H203" s="110">
        <v>70.909000000000006</v>
      </c>
      <c r="I203" s="277">
        <f t="shared" si="3"/>
        <v>736.24478894409356</v>
      </c>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c r="AN203" s="77"/>
      <c r="AO203" s="77"/>
      <c r="AP203" s="77"/>
      <c r="AQ203" s="77"/>
      <c r="AR203" s="77"/>
      <c r="AS203" s="77"/>
    </row>
    <row r="204" spans="1:45" ht="15" customHeight="1" x14ac:dyDescent="0.25">
      <c r="B204" s="326" t="s">
        <v>305</v>
      </c>
      <c r="C204" s="105" t="s">
        <v>131</v>
      </c>
      <c r="D204" s="158">
        <f>23320256742.6171/1000</f>
        <v>23320256.7426171</v>
      </c>
      <c r="E204" s="160" t="s">
        <v>131</v>
      </c>
      <c r="F204" s="273">
        <f>2527100000/1000</f>
        <v>2527100</v>
      </c>
      <c r="G204" s="102" t="s">
        <v>131</v>
      </c>
      <c r="H204" s="111"/>
      <c r="I204" s="278" t="s">
        <v>131</v>
      </c>
    </row>
    <row r="205" spans="1:45" s="179" customFormat="1" ht="15" customHeight="1" x14ac:dyDescent="0.25">
      <c r="A205" s="77"/>
      <c r="B205" s="107" t="s">
        <v>217</v>
      </c>
      <c r="C205" s="106">
        <f>2265714118.02994/1000</f>
        <v>2265714.1180299399</v>
      </c>
      <c r="D205" s="163">
        <f>45662043358.0705/1000</f>
        <v>45662043.3580705</v>
      </c>
      <c r="E205" s="164">
        <f>21898656631.2526/1000</f>
        <v>21898656.631252602</v>
      </c>
      <c r="F205" s="269">
        <f>1554269128.7808/1000</f>
        <v>1554269.1287808002</v>
      </c>
      <c r="G205" s="103">
        <v>4.9619201231595511</v>
      </c>
      <c r="H205" s="110">
        <v>10.346</v>
      </c>
      <c r="I205" s="277">
        <f t="shared" si="3"/>
        <v>145.77360355907035</v>
      </c>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c r="AN205" s="77"/>
      <c r="AO205" s="77"/>
      <c r="AP205" s="77"/>
      <c r="AQ205" s="77"/>
      <c r="AR205" s="77"/>
      <c r="AS205" s="77"/>
    </row>
    <row r="206" spans="1:45" ht="15" customHeight="1" x14ac:dyDescent="0.25">
      <c r="B206" s="108" t="s">
        <v>218</v>
      </c>
      <c r="C206" s="105" t="s">
        <v>131</v>
      </c>
      <c r="D206" s="158">
        <f>35164210526.3158/1000</f>
        <v>35164210.526315801</v>
      </c>
      <c r="E206" s="159">
        <f>25760632124.8372/1000</f>
        <v>25760632.124837201</v>
      </c>
      <c r="F206" s="273">
        <f>3159000000/1000</f>
        <v>3159000</v>
      </c>
      <c r="G206" s="102" t="s">
        <v>131</v>
      </c>
      <c r="H206" s="111" t="s">
        <v>131</v>
      </c>
      <c r="I206" s="278" t="s">
        <v>131</v>
      </c>
    </row>
    <row r="207" spans="1:45" s="179" customFormat="1" ht="15" customHeight="1" x14ac:dyDescent="0.25">
      <c r="A207" s="77"/>
      <c r="B207" s="107" t="s">
        <v>58</v>
      </c>
      <c r="C207" s="106">
        <f>1015000000/1000</f>
        <v>1015000</v>
      </c>
      <c r="D207" s="163">
        <f>789257487307.029/1000</f>
        <v>789257487.30702901</v>
      </c>
      <c r="E207" s="164">
        <f>208684962005.8/1000</f>
        <v>208684962.00579998</v>
      </c>
      <c r="F207" s="269">
        <f>12519000000/1000</f>
        <v>12519000</v>
      </c>
      <c r="G207" s="103">
        <v>0.12860188421692534</v>
      </c>
      <c r="H207" s="110">
        <v>0.48599999999999999</v>
      </c>
      <c r="I207" s="277">
        <f t="shared" si="3"/>
        <v>8.1076763319753962</v>
      </c>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c r="AQ207" s="77"/>
      <c r="AR207" s="77"/>
      <c r="AS207" s="77"/>
    </row>
    <row r="208" spans="1:45" ht="15" customHeight="1" x14ac:dyDescent="0.25">
      <c r="B208" s="108" t="s">
        <v>127</v>
      </c>
      <c r="C208" s="105" t="s">
        <v>131</v>
      </c>
      <c r="D208" s="158">
        <f>39875708.119439/1000</f>
        <v>39875.708119438998</v>
      </c>
      <c r="E208" s="160" t="s">
        <v>131</v>
      </c>
      <c r="F208" s="274" t="s">
        <v>131</v>
      </c>
      <c r="G208" s="102" t="s">
        <v>131</v>
      </c>
      <c r="H208" s="111" t="s">
        <v>131</v>
      </c>
      <c r="I208" s="278" t="s">
        <v>131</v>
      </c>
    </row>
    <row r="209" spans="1:45" s="179" customFormat="1" ht="15" customHeight="1" x14ac:dyDescent="0.25">
      <c r="A209" s="77"/>
      <c r="B209" s="107" t="s">
        <v>59</v>
      </c>
      <c r="C209" s="106">
        <f>8449000000/1000</f>
        <v>8449000</v>
      </c>
      <c r="D209" s="163">
        <f>176308825694.203/1000</f>
        <v>176308825.69420299</v>
      </c>
      <c r="E209" s="164">
        <f>89769035875.2603/1000</f>
        <v>89769035.875260293</v>
      </c>
      <c r="F209" s="269">
        <f>7833000000/1000</f>
        <v>7833000</v>
      </c>
      <c r="G209" s="103">
        <v>4.7921594206828155</v>
      </c>
      <c r="H209" s="110">
        <v>9.4120000000000008</v>
      </c>
      <c r="I209" s="277">
        <f t="shared" si="3"/>
        <v>107.86416443252904</v>
      </c>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c r="AQ209" s="77"/>
      <c r="AR209" s="77"/>
      <c r="AS209" s="77"/>
    </row>
    <row r="210" spans="1:45" ht="15" customHeight="1" x14ac:dyDescent="0.25">
      <c r="B210" s="108" t="s">
        <v>128</v>
      </c>
      <c r="C210" s="105">
        <f>732841523.157009/1000</f>
        <v>732841.52315700904</v>
      </c>
      <c r="D210" s="158">
        <f>20032237910.2417/1000</f>
        <v>20032237.910241701</v>
      </c>
      <c r="E210" s="159">
        <f>4648628151.66282/1000</f>
        <v>4648628.15166282</v>
      </c>
      <c r="F210" s="273">
        <f>1721169095.21567/1000</f>
        <v>1721169.0952156701</v>
      </c>
      <c r="G210" s="102">
        <v>3.6583108010230716</v>
      </c>
      <c r="H210" s="111">
        <v>15.765000000000001</v>
      </c>
      <c r="I210" s="278">
        <f t="shared" si="3"/>
        <v>42.57812467084652</v>
      </c>
    </row>
    <row r="211" spans="1:45" s="179" customFormat="1" ht="15" customHeight="1" x14ac:dyDescent="0.25">
      <c r="A211" s="77"/>
      <c r="B211" s="107" t="s">
        <v>219</v>
      </c>
      <c r="C211" s="106">
        <f>96607000/1000</f>
        <v>96607</v>
      </c>
      <c r="D211" s="163">
        <f>49919727146.4227/1000</f>
        <v>49919727.146422699</v>
      </c>
      <c r="E211" s="164">
        <f>13107560578.8338/1000</f>
        <v>13107560.5788338</v>
      </c>
      <c r="F211" s="269">
        <f>2906636722.71872/1000</f>
        <v>2906636.7227187199</v>
      </c>
      <c r="G211" s="103">
        <v>0.19352469559105545</v>
      </c>
      <c r="H211" s="110">
        <v>0.73699999999999999</v>
      </c>
      <c r="I211" s="277">
        <f t="shared" si="3"/>
        <v>3.32366956093635</v>
      </c>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c r="AS211" s="77"/>
    </row>
    <row r="212" spans="1:45" ht="15" customHeight="1" x14ac:dyDescent="0.25">
      <c r="B212" s="108" t="s">
        <v>220</v>
      </c>
      <c r="C212" s="105" t="s">
        <v>131</v>
      </c>
      <c r="D212" s="158">
        <f>51112745668.7163/1000</f>
        <v>51112745.668716304</v>
      </c>
      <c r="E212" s="159">
        <f>14251917108.4841/1000</f>
        <v>14251917.108484101</v>
      </c>
      <c r="F212" s="273">
        <f>1094000000/1000</f>
        <v>1094000</v>
      </c>
      <c r="G212" s="102" t="s">
        <v>131</v>
      </c>
      <c r="H212" s="111" t="s">
        <v>131</v>
      </c>
      <c r="I212" s="278" t="s">
        <v>131</v>
      </c>
    </row>
    <row r="213" spans="1:45" s="179" customFormat="1" ht="15" customHeight="1" x14ac:dyDescent="0.25">
      <c r="A213" s="77"/>
      <c r="B213" s="107" t="s">
        <v>129</v>
      </c>
      <c r="C213" s="106">
        <f>22036537.5309313/1000</f>
        <v>22036.537530931302</v>
      </c>
      <c r="D213" s="163">
        <f>787073459.020375/1000</f>
        <v>787073.45902037504</v>
      </c>
      <c r="E213" s="164">
        <f>374017001.754149/1000</f>
        <v>374017.00175414904</v>
      </c>
      <c r="F213" s="269">
        <f>37702975.779414/1000</f>
        <v>37702.975779413995</v>
      </c>
      <c r="G213" s="103">
        <v>2.7998069657130742</v>
      </c>
      <c r="H213" s="110">
        <v>5.8920000000000003</v>
      </c>
      <c r="I213" s="277">
        <f t="shared" si="3"/>
        <v>58.447740729694218</v>
      </c>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row>
    <row r="214" spans="1:45" ht="15" customHeight="1" x14ac:dyDescent="0.25">
      <c r="B214" s="108" t="s">
        <v>60</v>
      </c>
      <c r="C214" s="105">
        <f>118000000/1000</f>
        <v>118000</v>
      </c>
      <c r="D214" s="158">
        <f>381286237847.667/1000</f>
        <v>381286237.84766698</v>
      </c>
      <c r="E214" s="159">
        <f>99786475648.7306/1000</f>
        <v>99786475.648730606</v>
      </c>
      <c r="F214" s="273">
        <f>2199000000/1000</f>
        <v>2199000</v>
      </c>
      <c r="G214" s="102">
        <v>3.0947878073465555E-2</v>
      </c>
      <c r="H214" s="111">
        <v>0.11799999999999999</v>
      </c>
      <c r="I214" s="278">
        <f t="shared" si="3"/>
        <v>5.3660754888585727</v>
      </c>
    </row>
    <row r="215" spans="1:45" s="179" customFormat="1" ht="15" customHeight="1" x14ac:dyDescent="0.25">
      <c r="A215" s="77"/>
      <c r="B215" s="107" t="s">
        <v>221</v>
      </c>
      <c r="C215" s="106" t="s">
        <v>131</v>
      </c>
      <c r="D215" s="163">
        <f>155820001920.492/1000</f>
        <v>155820001.92049199</v>
      </c>
      <c r="E215" s="164">
        <f>124700595352.41/1000</f>
        <v>124700595.35241</v>
      </c>
      <c r="F215" s="269">
        <f>8368000000/1000</f>
        <v>8368000</v>
      </c>
      <c r="G215" s="103" t="s">
        <v>131</v>
      </c>
      <c r="H215" s="110" t="s">
        <v>131</v>
      </c>
      <c r="I215" s="277" t="s">
        <v>131</v>
      </c>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row>
    <row r="216" spans="1:45" ht="15" customHeight="1" x14ac:dyDescent="0.25">
      <c r="B216" s="157" t="s">
        <v>241</v>
      </c>
      <c r="C216" s="105" t="s">
        <v>131</v>
      </c>
      <c r="D216" s="160" t="s">
        <v>131</v>
      </c>
      <c r="E216" s="160" t="s">
        <v>131</v>
      </c>
      <c r="F216" s="274" t="s">
        <v>131</v>
      </c>
      <c r="G216" s="102" t="s">
        <v>131</v>
      </c>
      <c r="H216" s="111" t="s">
        <v>131</v>
      </c>
      <c r="I216" s="278" t="s">
        <v>131</v>
      </c>
    </row>
    <row r="217" spans="1:45" s="179" customFormat="1" ht="15" customHeight="1" x14ac:dyDescent="0.25">
      <c r="A217" s="77"/>
      <c r="B217" s="107" t="s">
        <v>224</v>
      </c>
      <c r="C217" s="106">
        <f>72864000/1000</f>
        <v>72864</v>
      </c>
      <c r="D217" s="163">
        <f>20590283021.5461/1000</f>
        <v>20590283.021546099</v>
      </c>
      <c r="E217" s="164">
        <f>9549475821.83923/1000</f>
        <v>9549475.8218392301</v>
      </c>
      <c r="F217" s="269">
        <f>1066200000/1000</f>
        <v>1066200</v>
      </c>
      <c r="G217" s="103">
        <v>0.35387566029934436</v>
      </c>
      <c r="H217" s="110">
        <v>0.76300000000000001</v>
      </c>
      <c r="I217" s="277">
        <f t="shared" si="3"/>
        <v>6.8339898705683728</v>
      </c>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row>
    <row r="218" spans="1:45" ht="15" customHeight="1" thickBot="1" x14ac:dyDescent="0.3">
      <c r="B218" s="237" t="s">
        <v>225</v>
      </c>
      <c r="C218" s="238" t="s">
        <v>131</v>
      </c>
      <c r="D218" s="239">
        <f>9802360203.02197/1000</f>
        <v>9802360.2030219715</v>
      </c>
      <c r="E218" s="240">
        <f>4343719414.87726/1000</f>
        <v>4343719.4148772601</v>
      </c>
      <c r="F218" s="276">
        <f>399500000/1000</f>
        <v>399500</v>
      </c>
      <c r="G218" s="241" t="s">
        <v>131</v>
      </c>
      <c r="H218" s="242" t="s">
        <v>131</v>
      </c>
      <c r="I218" s="279" t="s">
        <v>131</v>
      </c>
    </row>
    <row r="219" spans="1:45" x14ac:dyDescent="0.25">
      <c r="C219" s="185"/>
    </row>
    <row r="220" spans="1:45" s="1" customFormat="1" ht="15" customHeight="1" x14ac:dyDescent="0.25">
      <c r="A220" s="123" t="s">
        <v>63</v>
      </c>
      <c r="B220" s="409" t="s">
        <v>329</v>
      </c>
      <c r="C220" s="410"/>
      <c r="D220" s="410"/>
      <c r="E220" s="410"/>
    </row>
    <row r="221" spans="1:45" s="1" customFormat="1" ht="15" customHeight="1" x14ac:dyDescent="0.25">
      <c r="A221" s="369" t="s">
        <v>282</v>
      </c>
      <c r="B221" s="371" t="s">
        <v>323</v>
      </c>
      <c r="C221" s="359"/>
      <c r="D221" s="15"/>
      <c r="E221" s="15"/>
      <c r="F221"/>
      <c r="G221"/>
    </row>
    <row r="222" spans="1:45" s="1" customFormat="1" ht="15" customHeight="1" x14ac:dyDescent="0.25">
      <c r="A222" s="370" t="s">
        <v>4</v>
      </c>
      <c r="B222" s="497" t="s">
        <v>344</v>
      </c>
      <c r="C222" s="408"/>
      <c r="D222" s="15"/>
      <c r="E222" s="15"/>
      <c r="F222"/>
      <c r="G222"/>
    </row>
  </sheetData>
  <mergeCells count="4">
    <mergeCell ref="B3:I3"/>
    <mergeCell ref="B2:I2"/>
    <mergeCell ref="B222:C222"/>
    <mergeCell ref="B220:E220"/>
  </mergeCells>
  <hyperlinks>
    <hyperlink ref="I1" location="Índice!A1" display="[índice Ç]"/>
    <hyperlink ref="B222" r:id="rId1"/>
  </hyperlinks>
  <pageMargins left="0.7" right="0.7" top="0.75" bottom="0.75" header="0.3" footer="0.3"/>
  <pageSetup paperSize="9" orientation="portrait" r:id="rId2"/>
  <ignoredErrors>
    <ignoredError sqref="C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Índice</vt:lpstr>
      <vt:lpstr>Quadro 1</vt:lpstr>
      <vt:lpstr>Quadro 2</vt:lpstr>
      <vt:lpstr>Quadro 3</vt:lpstr>
      <vt:lpstr>Quadro 4</vt:lpstr>
      <vt:lpstr>Quadro 5</vt:lpstr>
      <vt:lpstr>Quadro 6</vt:lpstr>
      <vt:lpstr>Quadro 7</vt:lpstr>
      <vt:lpstr>Quadro 8</vt:lpstr>
      <vt:lpstr>Quadro 9</vt:lpstr>
      <vt:lpstr>Gráfico 1</vt:lpstr>
      <vt:lpstr>Gráfico 2</vt:lpstr>
      <vt:lpstr>Gráfico 3</vt:lpstr>
      <vt:lpstr>Gráfico 4</vt:lpstr>
      <vt:lpstr>Gráfico 5</vt:lpstr>
      <vt:lpstr>Gráfico 6</vt:lpstr>
      <vt:lpstr>Gráfico 7</vt:lpstr>
      <vt:lpstr>Gráfico 8</vt:lpstr>
      <vt:lpstr>Gráfico 9</vt:lpstr>
      <vt:lpstr>Metainformação</vt:lpstr>
      <vt:lpstr>Índice!Print_Titles</vt:lpstr>
      <vt:lpstr>Metainformação!Print_Titles</vt:lpstr>
      <vt:lpstr>'Quadro 1'!Print_Titles</vt:lpstr>
      <vt:lpstr>'Quadro 2'!Print_Titles</vt:lpstr>
      <vt:lpstr>'Quadro 3'!Print_Titles</vt:lpstr>
      <vt:lpstr>'Quadro 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CIES</cp:lastModifiedBy>
  <cp:lastPrinted>2014-05-01T00:44:53Z</cp:lastPrinted>
  <dcterms:created xsi:type="dcterms:W3CDTF">2014-04-13T11:25:45Z</dcterms:created>
  <dcterms:modified xsi:type="dcterms:W3CDTF">2017-06-02T10:23:06Z</dcterms:modified>
</cp:coreProperties>
</file>